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727"/>
  <workbookPr defaultThemeVersion="124226"/>
  <mc:AlternateContent xmlns:mc="http://schemas.openxmlformats.org/markup-compatibility/2006">
    <mc:Choice Requires="x15">
      <x15ac:absPath xmlns:x15ac="http://schemas.microsoft.com/office/spreadsheetml/2010/11/ac" url="C:\Users\ContentDeveloperOne\Desktop\Towns\Chilmark, MA\"/>
    </mc:Choice>
  </mc:AlternateContent>
  <xr:revisionPtr revIDLastSave="0" documentId="8_{E6748E7A-801E-4737-8C0F-49CAE2CB7E90}" xr6:coauthVersionLast="43" xr6:coauthVersionMax="43" xr10:uidLastSave="{00000000-0000-0000-0000-000000000000}"/>
  <workbookProtection workbookPassword="CC2B" lockStructure="1"/>
  <bookViews>
    <workbookView xWindow="6585" yWindow="885" windowWidth="18285" windowHeight="14130" tabRatio="853" firstSheet="48" activeTab="52" xr2:uid="{00000000-000D-0000-FFFF-FFFF00000000}"/>
  </bookViews>
  <sheets>
    <sheet name="Sources of Available Funds" sheetId="134" state="hidden" r:id="rId1"/>
    <sheet name="tax rate history" sheetId="74" state="hidden" r:id="rId2"/>
    <sheet name="DATA" sheetId="137" state="hidden" r:id="rId3"/>
    <sheet name="FY20 Payroll Schedule" sheetId="83" state="hidden" r:id="rId4"/>
    <sheet name="FY20 2.20% COLA" sheetId="84" state="hidden" r:id="rId5"/>
    <sheet name="114-Moderator" sheetId="138" r:id="rId6"/>
    <sheet name="122-Selectmen" sheetId="139" r:id="rId7"/>
    <sheet name="131-Finance Committee" sheetId="140" r:id="rId8"/>
    <sheet name="135-Town Accountant" sheetId="141" r:id="rId9"/>
    <sheet name="136-Auditing" sheetId="142" r:id="rId10"/>
    <sheet name="141-Board of Assessors" sheetId="143" r:id="rId11"/>
    <sheet name="145-Treasurer" sheetId="144" r:id="rId12"/>
    <sheet name="146-Tax Collector" sheetId="145" r:id="rId13"/>
    <sheet name="151-Legal" sheetId="146" r:id="rId14"/>
    <sheet name="152-Human Resource Board" sheetId="147" r:id="rId15"/>
    <sheet name="161-Town Clerk" sheetId="148" r:id="rId16"/>
    <sheet name="161.1" sheetId="188" r:id="rId17"/>
    <sheet name="171-ConComm" sheetId="149" r:id="rId18"/>
    <sheet name="175-Planning Board" sheetId="150" r:id="rId19"/>
    <sheet name="176-ZBA" sheetId="151" r:id="rId20"/>
    <sheet name="179-CPC" sheetId="152" r:id="rId21"/>
    <sheet name="185-Housing" sheetId="153" r:id="rId22"/>
    <sheet name="192-Town Offices" sheetId="154" r:id="rId23"/>
    <sheet name="194-Community Center" sheetId="155" r:id="rId24"/>
    <sheet name="196-Selectmens Maintenance" sheetId="156" r:id="rId25"/>
    <sheet name="198-Town Owned Property" sheetId="157" r:id="rId26"/>
    <sheet name="199-Comfort Station" sheetId="158" r:id="rId27"/>
    <sheet name="210-Police Dept" sheetId="159" r:id="rId28"/>
    <sheet name="220-Fire Dept" sheetId="160" r:id="rId29"/>
    <sheet name="230.231-Ambulance" sheetId="161" r:id="rId30"/>
    <sheet name="241-Building Inspections" sheetId="162" r:id="rId31"/>
    <sheet name="291-Emergency Mgt" sheetId="163" r:id="rId32"/>
    <sheet name="292-ACO" sheetId="164" r:id="rId33"/>
    <sheet name="295-Harbor" sheetId="165" r:id="rId34"/>
    <sheet name="296-Animal Inspector" sheetId="166" r:id="rId35"/>
    <sheet name="299-Shellfish" sheetId="167" r:id="rId36"/>
    <sheet name="300-Education" sheetId="168" r:id="rId37"/>
    <sheet name="422-Highway" sheetId="169" r:id="rId38"/>
    <sheet name="423-Snow &amp; Ice" sheetId="170" r:id="rId39"/>
    <sheet name="430-Waste Collection" sheetId="171" r:id="rId40"/>
    <sheet name="491-Cemetery Comm" sheetId="172" r:id="rId41"/>
    <sheet name="510-Board of Health" sheetId="173" r:id="rId42"/>
    <sheet name="541-SS" sheetId="174" r:id="rId43"/>
    <sheet name="610-Library" sheetId="175" r:id="rId44"/>
    <sheet name="630-Beach" sheetId="176" r:id="rId45"/>
    <sheet name="650-Parks" sheetId="177" r:id="rId46"/>
    <sheet name="691-Historical Comm" sheetId="178" r:id="rId47"/>
    <sheet name="699-Cultural Council" sheetId="179" r:id="rId48"/>
    <sheet name="710-ROD Principal" sheetId="180" r:id="rId49"/>
    <sheet name="751&amp;752-ROD Interest" sheetId="181" r:id="rId50"/>
    <sheet name="752-Short-Term Interest" sheetId="182" r:id="rId51"/>
    <sheet name="820.830 State &amp; County Assmt" sheetId="187" r:id="rId52"/>
    <sheet name="840-Other Assessments" sheetId="183" r:id="rId53"/>
    <sheet name="910-Benefits" sheetId="184" r:id="rId54"/>
    <sheet name="945-Property &amp; Liability Ins" sheetId="185" r:id="rId55"/>
    <sheet name="Summary Page" sheetId="68" r:id="rId56"/>
    <sheet name="County Retirement" sheetId="77" state="hidden" r:id="rId57"/>
    <sheet name="Health Ins" sheetId="76" state="hidden" r:id="rId58"/>
    <sheet name="Sheet1" sheetId="186" r:id="rId59"/>
  </sheets>
  <externalReferences>
    <externalReference r:id="rId60"/>
  </externalReferences>
  <definedNames>
    <definedName name="BudgetExportSummaryTable" localSheetId="51">#REF!</definedName>
    <definedName name="BudgetExportSummaryTable">#REF!</definedName>
    <definedName name="month">'[1]General Input'!$B$5</definedName>
    <definedName name="newfy15" localSheetId="51">#REF!</definedName>
    <definedName name="newfy15">#REF!</definedName>
    <definedName name="_xlnm.Print_Area" localSheetId="5">'114-Moderator'!$B$3:$AR$15</definedName>
    <definedName name="_xlnm.Print_Area" localSheetId="6">'122-Selectmen'!$B$3:$AR$43</definedName>
    <definedName name="_xlnm.Print_Area" localSheetId="7">'131-Finance Committee'!$B$3:$AR$17</definedName>
    <definedName name="_xlnm.Print_Area" localSheetId="8">'135-Town Accountant'!$B$3:$AR$32</definedName>
    <definedName name="_xlnm.Print_Area" localSheetId="9">'136-Auditing'!$B$3:$AR$15</definedName>
    <definedName name="_xlnm.Print_Area" localSheetId="10">'141-Board of Assessors'!$B$3:$AR$41</definedName>
    <definedName name="_xlnm.Print_Area" localSheetId="11">'145-Treasurer'!$B$3:$AR$33</definedName>
    <definedName name="_xlnm.Print_Area" localSheetId="12">'146-Tax Collector'!$B$3:$AR$34</definedName>
    <definedName name="_xlnm.Print_Area" localSheetId="13">'151-Legal'!$B$3:$AR$18</definedName>
    <definedName name="_xlnm.Print_Area" localSheetId="14">'152-Human Resource Board'!$B$3:$AR$28</definedName>
    <definedName name="_xlnm.Print_Area" localSheetId="16">'161.1'!$A$1:$C$24</definedName>
    <definedName name="_xlnm.Print_Area" localSheetId="15">'161-Town Clerk'!$B$3:$AR$38</definedName>
    <definedName name="_xlnm.Print_Area" localSheetId="17">'171-ConComm'!$B$3:$AQ$29</definedName>
    <definedName name="_xlnm.Print_Area" localSheetId="18">'175-Planning Board'!$B$3:$AR$35</definedName>
    <definedName name="_xlnm.Print_Area" localSheetId="19">'176-ZBA'!$B$3:$AR$27</definedName>
    <definedName name="_xlnm.Print_Area" localSheetId="20">'179-CPC'!$B$3:$AR$30</definedName>
    <definedName name="_xlnm.Print_Area" localSheetId="21">'185-Housing'!$B$3:$AR$27</definedName>
    <definedName name="_xlnm.Print_Area" localSheetId="22">'192-Town Offices'!$B$3:$AR$53</definedName>
    <definedName name="_xlnm.Print_Area" localSheetId="23">'194-Community Center'!$B$3:$AR$32</definedName>
    <definedName name="_xlnm.Print_Area" localSheetId="24">'196-Selectmens Maintenance'!$B$3:$AR$24</definedName>
    <definedName name="_xlnm.Print_Area" localSheetId="25">'198-Town Owned Property'!$B$3:$AR$44</definedName>
    <definedName name="_xlnm.Print_Area" localSheetId="26">'199-Comfort Station'!$B$3:$AR$27</definedName>
    <definedName name="_xlnm.Print_Area" localSheetId="27">'210-Police Dept'!$B$3:$AR$66</definedName>
    <definedName name="_xlnm.Print_Area" localSheetId="28">'220-Fire Dept'!$B$3:$AR$57</definedName>
    <definedName name="_xlnm.Print_Area" localSheetId="29">'230.231-Ambulance'!$B$3:$AR$93</definedName>
    <definedName name="_xlnm.Print_Area" localSheetId="30">'241-Building Inspections'!$B$3:$AR$35</definedName>
    <definedName name="_xlnm.Print_Area" localSheetId="31">'291-Emergency Mgt'!$B$3:$AR$30</definedName>
    <definedName name="_xlnm.Print_Area" localSheetId="32">'292-ACO'!$B$3:$AR$30</definedName>
    <definedName name="_xlnm.Print_Area" localSheetId="33">'295-Harbor'!$B$3:$AR$57</definedName>
    <definedName name="_xlnm.Print_Area" localSheetId="34">'296-Animal Inspector'!$B$3:$AR$15</definedName>
    <definedName name="_xlnm.Print_Area" localSheetId="35">'299-Shellfish'!$B$3:$AR$39</definedName>
    <definedName name="_xlnm.Print_Area" localSheetId="36">'300-Education'!$C$1:$AR$16</definedName>
    <definedName name="_xlnm.Print_Area" localSheetId="37">'422-Highway'!$B$3:$AR$46</definedName>
    <definedName name="_xlnm.Print_Area" localSheetId="38">'423-Snow &amp; Ice'!$B$3:$AR$28</definedName>
    <definedName name="_xlnm.Print_Area" localSheetId="39">'430-Waste Collection'!$B$3:$AR$28</definedName>
    <definedName name="_xlnm.Print_Area" localSheetId="40">'491-Cemetery Comm'!$B$3:$AR$35</definedName>
    <definedName name="_xlnm.Print_Area" localSheetId="41">'510-Board of Health'!$B$3:$AR$38</definedName>
    <definedName name="_xlnm.Print_Area" localSheetId="42">'541-SS'!$B$3:$AR$32</definedName>
    <definedName name="_xlnm.Print_Area" localSheetId="43">'610-Library'!$B$3:$AR$53</definedName>
    <definedName name="_xlnm.Print_Area" localSheetId="44">'630-Beach'!$B$3:$AR$58</definedName>
    <definedName name="_xlnm.Print_Area" localSheetId="45">'650-Parks'!$B$3:$AR$17</definedName>
    <definedName name="_xlnm.Print_Area" localSheetId="46">'691-Historical Comm'!$B$3:$AR$26</definedName>
    <definedName name="_xlnm.Print_Area" localSheetId="47">'699-Cultural Council'!$B$3:$AR$17</definedName>
    <definedName name="_xlnm.Print_Area" localSheetId="48">'710-ROD Principal'!$B$3:$AR$28</definedName>
    <definedName name="_xlnm.Print_Area" localSheetId="49">'751&amp;752-ROD Interest'!$A$3:$AQ$42</definedName>
    <definedName name="_xlnm.Print_Area" localSheetId="50">'752-Short-Term Interest'!$B$3:$AN$17</definedName>
    <definedName name="_xlnm.Print_Area" localSheetId="51">'820.830 State &amp; County Assmt'!$B$3:$AQ$31</definedName>
    <definedName name="_xlnm.Print_Area" localSheetId="52">'840-Other Assessments'!$B$3:$AQ$16</definedName>
    <definedName name="_xlnm.Print_Area" localSheetId="53">'910-Benefits'!$B$3:$AR$29</definedName>
    <definedName name="_xlnm.Print_Area" localSheetId="54">'945-Property &amp; Liability Ins'!$B$3:$AR$19</definedName>
    <definedName name="_xlnm.Print_Area" localSheetId="56">'County Retirement'!$A$1:$G$34</definedName>
    <definedName name="_xlnm.Print_Area" localSheetId="2">DATA!$A$1:$N$8</definedName>
    <definedName name="_xlnm.Print_Area" localSheetId="4">'FY20 2.20% COLA'!$A$1:$I$16</definedName>
    <definedName name="_xlnm.Print_Area" localSheetId="3">'FY20 Payroll Schedule'!$A$1:$N$153</definedName>
    <definedName name="_xlnm.Print_Area" localSheetId="57">'Health Ins'!$A$1:$M$81</definedName>
    <definedName name="_xlnm.Print_Area" localSheetId="0">'Sources of Available Funds'!$A$1:$J$83</definedName>
    <definedName name="_xlnm.Print_Area" localSheetId="55">'Summary Page'!$A$1:$AI$64</definedName>
    <definedName name="_xlnm.Print_Area" localSheetId="1">'tax rate history'!$A$1:$S$25</definedName>
    <definedName name="_xlnm.Print_Titles" localSheetId="5">'114-Moderator'!$3:$4</definedName>
    <definedName name="_xlnm.Print_Titles" localSheetId="6">'122-Selectmen'!$3:$4</definedName>
    <definedName name="_xlnm.Print_Titles" localSheetId="7">'131-Finance Committee'!$3:$4</definedName>
    <definedName name="_xlnm.Print_Titles" localSheetId="8">'135-Town Accountant'!$3:$4</definedName>
    <definedName name="_xlnm.Print_Titles" localSheetId="9">'136-Auditing'!$3:$4</definedName>
    <definedName name="_xlnm.Print_Titles" localSheetId="10">'141-Board of Assessors'!$3:$4</definedName>
    <definedName name="_xlnm.Print_Titles" localSheetId="11">'145-Treasurer'!$3:$4</definedName>
    <definedName name="_xlnm.Print_Titles" localSheetId="12">'146-Tax Collector'!$3:$4</definedName>
    <definedName name="_xlnm.Print_Titles" localSheetId="13">'151-Legal'!$3:$4</definedName>
    <definedName name="_xlnm.Print_Titles" localSheetId="14">'152-Human Resource Board'!$3:$4</definedName>
    <definedName name="_xlnm.Print_Titles" localSheetId="15">'161-Town Clerk'!$3:$4</definedName>
    <definedName name="_xlnm.Print_Titles" localSheetId="17">'171-ConComm'!$3:$4</definedName>
    <definedName name="_xlnm.Print_Titles" localSheetId="18">'175-Planning Board'!$3:$4</definedName>
    <definedName name="_xlnm.Print_Titles" localSheetId="19">'176-ZBA'!$3:$4</definedName>
    <definedName name="_xlnm.Print_Titles" localSheetId="20">'179-CPC'!$3:$4</definedName>
    <definedName name="_xlnm.Print_Titles" localSheetId="21">'185-Housing'!$3:$4</definedName>
    <definedName name="_xlnm.Print_Titles" localSheetId="22">'192-Town Offices'!$4:$4</definedName>
    <definedName name="_xlnm.Print_Titles" localSheetId="23">'194-Community Center'!$3:$4</definedName>
    <definedName name="_xlnm.Print_Titles" localSheetId="24">'196-Selectmens Maintenance'!$3:$4</definedName>
    <definedName name="_xlnm.Print_Titles" localSheetId="25">'198-Town Owned Property'!$3:$4</definedName>
    <definedName name="_xlnm.Print_Titles" localSheetId="26">'199-Comfort Station'!$3:$4</definedName>
    <definedName name="_xlnm.Print_Titles" localSheetId="27">'210-Police Dept'!$3:$4</definedName>
    <definedName name="_xlnm.Print_Titles" localSheetId="28">'220-Fire Dept'!$3:$4</definedName>
    <definedName name="_xlnm.Print_Titles" localSheetId="29">'230.231-Ambulance'!$3:$4</definedName>
    <definedName name="_xlnm.Print_Titles" localSheetId="30">'241-Building Inspections'!$3:$4</definedName>
    <definedName name="_xlnm.Print_Titles" localSheetId="31">'291-Emergency Mgt'!$3:$4</definedName>
    <definedName name="_xlnm.Print_Titles" localSheetId="32">'292-ACO'!$3:$4</definedName>
    <definedName name="_xlnm.Print_Titles" localSheetId="33">'295-Harbor'!$3:$4</definedName>
    <definedName name="_xlnm.Print_Titles" localSheetId="34">'296-Animal Inspector'!$3:$4</definedName>
    <definedName name="_xlnm.Print_Titles" localSheetId="35">'299-Shellfish'!$3:$4</definedName>
    <definedName name="_xlnm.Print_Titles" localSheetId="36">'300-Education'!$3:$4</definedName>
    <definedName name="_xlnm.Print_Titles" localSheetId="37">'422-Highway'!$3:$4</definedName>
    <definedName name="_xlnm.Print_Titles" localSheetId="38">'423-Snow &amp; Ice'!$3:$4</definedName>
    <definedName name="_xlnm.Print_Titles" localSheetId="39">'430-Waste Collection'!$3:$4</definedName>
    <definedName name="_xlnm.Print_Titles" localSheetId="40">'491-Cemetery Comm'!$3:$4</definedName>
    <definedName name="_xlnm.Print_Titles" localSheetId="41">'510-Board of Health'!$3:$4</definedName>
    <definedName name="_xlnm.Print_Titles" localSheetId="42">'541-SS'!$3:$4</definedName>
    <definedName name="_xlnm.Print_Titles" localSheetId="43">'610-Library'!$3:$4</definedName>
    <definedName name="_xlnm.Print_Titles" localSheetId="44">'630-Beach'!$3:$4</definedName>
    <definedName name="_xlnm.Print_Titles" localSheetId="45">'650-Parks'!$3:$4</definedName>
    <definedName name="_xlnm.Print_Titles" localSheetId="46">'691-Historical Comm'!$3:$4</definedName>
    <definedName name="_xlnm.Print_Titles" localSheetId="47">'699-Cultural Council'!$3:$4</definedName>
    <definedName name="_xlnm.Print_Titles" localSheetId="48">'710-ROD Principal'!$3:$4</definedName>
    <definedName name="_xlnm.Print_Titles" localSheetId="49">'751&amp;752-ROD Interest'!$3:$4</definedName>
    <definedName name="_xlnm.Print_Titles" localSheetId="50">'752-Short-Term Interest'!$3:$4</definedName>
    <definedName name="_xlnm.Print_Titles" localSheetId="51">'820.830 State &amp; County Assmt'!$4:$4</definedName>
    <definedName name="_xlnm.Print_Titles" localSheetId="52">'840-Other Assessments'!$4:$4</definedName>
    <definedName name="_xlnm.Print_Titles" localSheetId="53">'910-Benefits'!$3:$4</definedName>
    <definedName name="_xlnm.Print_Titles" localSheetId="54">'945-Property &amp; Liability Ins'!$3:$4</definedName>
    <definedName name="_xlnm.Print_Titles" localSheetId="3">'FY20 Payroll Schedule'!$1:$2</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Q22" i="158" l="1"/>
  <c r="AQ21" i="158"/>
  <c r="AQ20" i="158"/>
  <c r="AO23" i="158"/>
  <c r="AP21" i="158"/>
  <c r="AP20" i="158"/>
  <c r="AP19" i="158"/>
  <c r="AP16" i="158"/>
  <c r="AP15" i="158"/>
  <c r="AP14" i="158"/>
  <c r="AP12" i="158"/>
  <c r="AP11" i="158"/>
  <c r="AP10" i="158"/>
  <c r="AP17" i="159"/>
  <c r="AF93" i="161"/>
  <c r="AQ11" i="168" l="1"/>
  <c r="AP11" i="168"/>
  <c r="AP10" i="168"/>
  <c r="D79" i="76"/>
  <c r="J68" i="76"/>
  <c r="AI25" i="174"/>
  <c r="AI24" i="174"/>
  <c r="AI14" i="174"/>
  <c r="AI12" i="174"/>
  <c r="AI11" i="174"/>
  <c r="AI10" i="174"/>
  <c r="AD25" i="174"/>
  <c r="AD24" i="174"/>
  <c r="AD23" i="174"/>
  <c r="Z22" i="174"/>
  <c r="V22" i="174"/>
  <c r="R22" i="174"/>
  <c r="N22" i="174"/>
  <c r="AD12" i="174"/>
  <c r="AD11" i="174"/>
  <c r="AD10" i="174"/>
  <c r="Z12" i="174"/>
  <c r="Z11" i="174"/>
  <c r="Z10" i="174"/>
  <c r="V12" i="174"/>
  <c r="V11" i="174"/>
  <c r="V10" i="174"/>
  <c r="R12" i="174"/>
  <c r="R11" i="174"/>
  <c r="R10" i="174"/>
  <c r="N12" i="174"/>
  <c r="N11" i="174"/>
  <c r="N10" i="174"/>
  <c r="J12" i="174"/>
  <c r="J11" i="174"/>
  <c r="J10" i="174"/>
  <c r="AB15" i="174"/>
  <c r="AK24" i="184"/>
  <c r="AP12" i="140"/>
  <c r="AP10" i="140"/>
  <c r="AP11" i="140"/>
  <c r="AQ11" i="140" s="1"/>
  <c r="AO11" i="162"/>
  <c r="AP11" i="162" s="1"/>
  <c r="AQ11" i="162" s="1"/>
  <c r="AO10" i="162"/>
  <c r="AP10" i="162" s="1"/>
  <c r="AQ10" i="162" s="1"/>
  <c r="AO9" i="162"/>
  <c r="AP9" i="162" s="1"/>
  <c r="AQ9" i="162" s="1"/>
  <c r="AO12" i="160"/>
  <c r="AO11" i="160"/>
  <c r="AO10" i="160"/>
  <c r="AO6" i="160"/>
  <c r="G75" i="83" l="1"/>
  <c r="I75" i="83" s="1"/>
  <c r="B7" i="162"/>
  <c r="AO22" i="162"/>
  <c r="AQ79" i="161"/>
  <c r="J75" i="83" l="1"/>
  <c r="AO7" i="162" s="1"/>
  <c r="AP7" i="162" s="1"/>
  <c r="H75" i="83"/>
  <c r="I88" i="83"/>
  <c r="J88" i="83" s="1"/>
  <c r="I90" i="83"/>
  <c r="I89" i="83"/>
  <c r="AP12" i="157"/>
  <c r="AP11" i="157"/>
  <c r="AP10" i="157"/>
  <c r="AP9" i="157"/>
  <c r="AP8" i="157"/>
  <c r="AO24" i="157"/>
  <c r="AL24" i="157"/>
  <c r="AK24" i="157"/>
  <c r="AH24" i="157"/>
  <c r="AG24" i="157"/>
  <c r="AC24" i="157"/>
  <c r="AB24" i="157"/>
  <c r="Y24" i="157"/>
  <c r="X24" i="157"/>
  <c r="U24" i="157"/>
  <c r="T24" i="157"/>
  <c r="Q24" i="157"/>
  <c r="P24" i="157"/>
  <c r="M24" i="157"/>
  <c r="L24" i="157"/>
  <c r="I24" i="157"/>
  <c r="H24" i="157"/>
  <c r="AO13" i="157"/>
  <c r="AL13" i="157"/>
  <c r="AK13" i="157"/>
  <c r="AH13" i="157"/>
  <c r="AG13" i="157"/>
  <c r="AC13" i="157"/>
  <c r="AB13" i="157"/>
  <c r="Y13" i="157"/>
  <c r="X13" i="157"/>
  <c r="X26" i="157" s="1"/>
  <c r="U13" i="157"/>
  <c r="T13" i="157"/>
  <c r="Q13" i="157"/>
  <c r="Q26" i="157" s="1"/>
  <c r="P13" i="157"/>
  <c r="P26" i="157" s="1"/>
  <c r="M13" i="157"/>
  <c r="L13" i="157"/>
  <c r="I13" i="157"/>
  <c r="I26" i="157" s="1"/>
  <c r="H13" i="157"/>
  <c r="H26" i="157" s="1"/>
  <c r="E24" i="157"/>
  <c r="D24" i="157"/>
  <c r="E13" i="157"/>
  <c r="D13" i="157"/>
  <c r="D26" i="157" s="1"/>
  <c r="B9" i="157"/>
  <c r="B11" i="157"/>
  <c r="B10" i="157"/>
  <c r="AQ8" i="157"/>
  <c r="AM8" i="157"/>
  <c r="AI8" i="157"/>
  <c r="B8" i="157"/>
  <c r="AC32" i="139"/>
  <c r="AH32" i="139"/>
  <c r="E12" i="183"/>
  <c r="D12" i="183"/>
  <c r="I12" i="183"/>
  <c r="H12" i="183"/>
  <c r="M12" i="183"/>
  <c r="L12" i="183"/>
  <c r="Q12" i="183"/>
  <c r="P12" i="183"/>
  <c r="U12" i="183"/>
  <c r="T12" i="183"/>
  <c r="Y12" i="183"/>
  <c r="X12" i="183"/>
  <c r="AB12" i="183"/>
  <c r="AP22" i="157"/>
  <c r="B22" i="157"/>
  <c r="AF13" i="157"/>
  <c r="AB32" i="174"/>
  <c r="AG32" i="174"/>
  <c r="AK32" i="174"/>
  <c r="AP29" i="174"/>
  <c r="AP28" i="174"/>
  <c r="AQ28" i="174" s="1"/>
  <c r="AP27" i="174"/>
  <c r="AQ27" i="174" s="1"/>
  <c r="AP26" i="174"/>
  <c r="AQ26" i="174" s="1"/>
  <c r="AP25" i="174"/>
  <c r="AQ25" i="174" s="1"/>
  <c r="AP24" i="174"/>
  <c r="AQ24" i="174" s="1"/>
  <c r="AO15" i="174"/>
  <c r="AN22" i="187"/>
  <c r="AO22" i="187" s="1"/>
  <c r="AO32" i="174"/>
  <c r="C18" i="188"/>
  <c r="B18" i="188"/>
  <c r="B21" i="188" s="1"/>
  <c r="C15" i="188"/>
  <c r="B15" i="188"/>
  <c r="B8" i="188"/>
  <c r="J120" i="83"/>
  <c r="J119" i="83"/>
  <c r="G116" i="83"/>
  <c r="AO11" i="175"/>
  <c r="AO10" i="175"/>
  <c r="AP10" i="175" s="1"/>
  <c r="AO42" i="175"/>
  <c r="R23" i="74"/>
  <c r="S23" i="74"/>
  <c r="AG66" i="159"/>
  <c r="H58" i="76"/>
  <c r="D55" i="76"/>
  <c r="H35" i="76"/>
  <c r="F35" i="76"/>
  <c r="J35" i="76" s="1"/>
  <c r="AK14" i="185"/>
  <c r="AB24" i="184"/>
  <c r="AC24" i="184"/>
  <c r="AH24" i="184"/>
  <c r="AG24" i="184"/>
  <c r="AL24" i="184"/>
  <c r="B22" i="184"/>
  <c r="B23" i="184"/>
  <c r="B21" i="184"/>
  <c r="B20" i="184"/>
  <c r="B14" i="184"/>
  <c r="B19" i="184"/>
  <c r="B15" i="184"/>
  <c r="B18" i="184"/>
  <c r="B17" i="184"/>
  <c r="B16" i="184"/>
  <c r="B13" i="184"/>
  <c r="B12" i="184"/>
  <c r="B11" i="184"/>
  <c r="AN13" i="187"/>
  <c r="AP22" i="187"/>
  <c r="AO12" i="187"/>
  <c r="AO11" i="187"/>
  <c r="AO10" i="187"/>
  <c r="AO13" i="187" s="1"/>
  <c r="AM11" i="177"/>
  <c r="AO12" i="177"/>
  <c r="AK12" i="177"/>
  <c r="AL12" i="177"/>
  <c r="B28" i="176"/>
  <c r="AQ17" i="175"/>
  <c r="AL12" i="175"/>
  <c r="AM25" i="174"/>
  <c r="AM24" i="174"/>
  <c r="B8" i="172"/>
  <c r="AB28" i="171"/>
  <c r="AG28" i="171"/>
  <c r="AK28" i="171"/>
  <c r="AO28" i="171"/>
  <c r="B38" i="169"/>
  <c r="AM8" i="167"/>
  <c r="B7" i="164"/>
  <c r="AB21" i="159"/>
  <c r="B21" i="158"/>
  <c r="AP18" i="157"/>
  <c r="B18" i="157"/>
  <c r="AQ11" i="156"/>
  <c r="AM11" i="156"/>
  <c r="AI11" i="156"/>
  <c r="AM26" i="155"/>
  <c r="AM25" i="155"/>
  <c r="AM24" i="155"/>
  <c r="AM22" i="155"/>
  <c r="AM21" i="155"/>
  <c r="AM19" i="155"/>
  <c r="AM18" i="155"/>
  <c r="AM17" i="155"/>
  <c r="AM16" i="155"/>
  <c r="AM14" i="155"/>
  <c r="AM12" i="155"/>
  <c r="AM11" i="155"/>
  <c r="AM10" i="155"/>
  <c r="AL9" i="154"/>
  <c r="B22" i="154"/>
  <c r="AP22" i="154"/>
  <c r="B26" i="148"/>
  <c r="AM22" i="145"/>
  <c r="AM21" i="145"/>
  <c r="AM20" i="145"/>
  <c r="AM19" i="145"/>
  <c r="AM18" i="145"/>
  <c r="AM17" i="145"/>
  <c r="AM16" i="145"/>
  <c r="AM15" i="145"/>
  <c r="AM14" i="145"/>
  <c r="AM13" i="145"/>
  <c r="AM12" i="145"/>
  <c r="AM11" i="145"/>
  <c r="AM7" i="145"/>
  <c r="AP19" i="181"/>
  <c r="AP18" i="181"/>
  <c r="AP17" i="181"/>
  <c r="AP16" i="181"/>
  <c r="AP15" i="181"/>
  <c r="AP14" i="181"/>
  <c r="AP13" i="181"/>
  <c r="AP12" i="181"/>
  <c r="AP11" i="181"/>
  <c r="AP10" i="181"/>
  <c r="AM19" i="181"/>
  <c r="AM18" i="181"/>
  <c r="AM17" i="181"/>
  <c r="AM16" i="181"/>
  <c r="AM15" i="181"/>
  <c r="AM14" i="181"/>
  <c r="AM13" i="181"/>
  <c r="AM12" i="181"/>
  <c r="AM11" i="181"/>
  <c r="AM10" i="181"/>
  <c r="AM10" i="180"/>
  <c r="AI10" i="180"/>
  <c r="J20" i="180"/>
  <c r="J19" i="180"/>
  <c r="J18" i="180"/>
  <c r="J17" i="180"/>
  <c r="J16" i="180"/>
  <c r="J15" i="180"/>
  <c r="J14" i="180"/>
  <c r="J13" i="180"/>
  <c r="J12" i="180"/>
  <c r="J11" i="180"/>
  <c r="J10" i="180"/>
  <c r="N20" i="180"/>
  <c r="N19" i="180"/>
  <c r="N18" i="180"/>
  <c r="N17" i="180"/>
  <c r="N16" i="180"/>
  <c r="N15" i="180"/>
  <c r="N14" i="180"/>
  <c r="N13" i="180"/>
  <c r="N12" i="180"/>
  <c r="N11" i="180"/>
  <c r="N10" i="180"/>
  <c r="R20" i="180"/>
  <c r="R19" i="180"/>
  <c r="R18" i="180"/>
  <c r="R17" i="180"/>
  <c r="R16" i="180"/>
  <c r="R15" i="180"/>
  <c r="R14" i="180"/>
  <c r="R13" i="180"/>
  <c r="R12" i="180"/>
  <c r="R11" i="180"/>
  <c r="R10" i="180"/>
  <c r="V20" i="180"/>
  <c r="V19" i="180"/>
  <c r="V18" i="180"/>
  <c r="V17" i="180"/>
  <c r="V16" i="180"/>
  <c r="V15" i="180"/>
  <c r="V14" i="180"/>
  <c r="V13" i="180"/>
  <c r="V12" i="180"/>
  <c r="V11" i="180"/>
  <c r="V10" i="180"/>
  <c r="AD20" i="180"/>
  <c r="AD19" i="180"/>
  <c r="AD18" i="180"/>
  <c r="AD17" i="180"/>
  <c r="AD16" i="180"/>
  <c r="AD15" i="180"/>
  <c r="AD14" i="180"/>
  <c r="AD13" i="180"/>
  <c r="AD12" i="180"/>
  <c r="AD11" i="180"/>
  <c r="AD10" i="180"/>
  <c r="Z20" i="180"/>
  <c r="Z19" i="180"/>
  <c r="Z18" i="180"/>
  <c r="Z17" i="180"/>
  <c r="Z16" i="180"/>
  <c r="Z15" i="180"/>
  <c r="Z14" i="180"/>
  <c r="Z13" i="180"/>
  <c r="Z12" i="180"/>
  <c r="Z11" i="180"/>
  <c r="Z10" i="180"/>
  <c r="AM18" i="180"/>
  <c r="AM17" i="180"/>
  <c r="AM16" i="180"/>
  <c r="AM15" i="180"/>
  <c r="AM14" i="180"/>
  <c r="AM13" i="180"/>
  <c r="AM12" i="180"/>
  <c r="AM11" i="180"/>
  <c r="AM20" i="180"/>
  <c r="AK21" i="180"/>
  <c r="AH10" i="143"/>
  <c r="AL10" i="143"/>
  <c r="AK10" i="143"/>
  <c r="AG10" i="143"/>
  <c r="AC10" i="143"/>
  <c r="AB10" i="143"/>
  <c r="AL15" i="139"/>
  <c r="AL30" i="139"/>
  <c r="AK15" i="139"/>
  <c r="D45" i="68"/>
  <c r="E45" i="68"/>
  <c r="F45" i="68"/>
  <c r="H45" i="68"/>
  <c r="I45" i="68"/>
  <c r="L45" i="68"/>
  <c r="O45" i="68" s="1"/>
  <c r="M45" i="68"/>
  <c r="Q45" i="68"/>
  <c r="R45" i="68"/>
  <c r="S45" i="68" s="1"/>
  <c r="D69" i="134"/>
  <c r="C69" i="134"/>
  <c r="C75" i="134"/>
  <c r="D62" i="134"/>
  <c r="D57" i="134" s="1"/>
  <c r="I57" i="134"/>
  <c r="H57" i="134"/>
  <c r="F57" i="134"/>
  <c r="E57" i="134"/>
  <c r="C66" i="134"/>
  <c r="C57" i="134" s="1"/>
  <c r="B20" i="188" l="1"/>
  <c r="M26" i="157"/>
  <c r="U26" i="157"/>
  <c r="N45" i="68"/>
  <c r="L26" i="157"/>
  <c r="T26" i="157"/>
  <c r="AB26" i="157"/>
  <c r="AL32" i="139"/>
  <c r="J45" i="68"/>
  <c r="E26" i="157"/>
  <c r="Y26" i="157"/>
  <c r="AC26" i="157"/>
  <c r="AH26" i="157"/>
  <c r="AL26" i="157"/>
  <c r="AO26" i="157"/>
  <c r="AQ13" i="157"/>
  <c r="AD13" i="157"/>
  <c r="AG26" i="157"/>
  <c r="V23" i="68" s="1"/>
  <c r="AI13" i="157"/>
  <c r="AK26" i="157"/>
  <c r="AL28" i="157" s="1"/>
  <c r="AM13" i="157"/>
  <c r="AQ12" i="177"/>
  <c r="C20" i="134"/>
  <c r="E20" i="134"/>
  <c r="D20" i="134"/>
  <c r="J75" i="134"/>
  <c r="J73" i="134"/>
  <c r="J72" i="134"/>
  <c r="J71" i="134"/>
  <c r="J70" i="134"/>
  <c r="J69" i="134"/>
  <c r="N57" i="134"/>
  <c r="M57" i="134"/>
  <c r="L57" i="134"/>
  <c r="K57" i="134"/>
  <c r="J65" i="134"/>
  <c r="J57" i="134" s="1"/>
  <c r="J32" i="134" l="1"/>
  <c r="J20" i="134" s="1"/>
  <c r="G75" i="134"/>
  <c r="G73" i="134"/>
  <c r="G72" i="134"/>
  <c r="G71" i="134"/>
  <c r="G70" i="134"/>
  <c r="G69" i="134"/>
  <c r="G65" i="134"/>
  <c r="G57" i="134" s="1"/>
  <c r="O34" i="134"/>
  <c r="N34" i="134"/>
  <c r="M34" i="134"/>
  <c r="L34" i="134"/>
  <c r="K34" i="134"/>
  <c r="J34" i="134"/>
  <c r="I34" i="134"/>
  <c r="H34" i="134"/>
  <c r="G34" i="134"/>
  <c r="G20" i="134"/>
  <c r="E75" i="134"/>
  <c r="D75" i="134"/>
  <c r="O75" i="134"/>
  <c r="N75" i="134"/>
  <c r="M75" i="134"/>
  <c r="L75" i="134"/>
  <c r="K75" i="134"/>
  <c r="I75" i="134"/>
  <c r="H75" i="134"/>
  <c r="E73" i="134"/>
  <c r="E72" i="134"/>
  <c r="E71" i="134"/>
  <c r="E70" i="134"/>
  <c r="E69" i="134"/>
  <c r="O68" i="134"/>
  <c r="N68" i="134"/>
  <c r="M68" i="134"/>
  <c r="L68" i="134"/>
  <c r="K68" i="134"/>
  <c r="J68" i="134"/>
  <c r="I68" i="134"/>
  <c r="H68" i="134"/>
  <c r="F68" i="134"/>
  <c r="D68" i="134"/>
  <c r="C68" i="134"/>
  <c r="E12" i="134"/>
  <c r="O57" i="134"/>
  <c r="E40" i="134"/>
  <c r="E34" i="134"/>
  <c r="F75" i="134"/>
  <c r="C40" i="134"/>
  <c r="C34" i="134"/>
  <c r="AQ11" i="177"/>
  <c r="G68" i="134" l="1"/>
  <c r="E68" i="134"/>
  <c r="AB4" i="68"/>
  <c r="AC61" i="68"/>
  <c r="AO10" i="183"/>
  <c r="AN12" i="183"/>
  <c r="AK12" i="183"/>
  <c r="AJ12" i="183"/>
  <c r="AG12" i="183"/>
  <c r="AF12" i="183"/>
  <c r="AC12" i="183"/>
  <c r="AL10" i="183"/>
  <c r="AP10" i="183"/>
  <c r="AH10" i="183"/>
  <c r="AD10" i="183"/>
  <c r="AK7" i="183"/>
  <c r="AJ7" i="183"/>
  <c r="AO12" i="183"/>
  <c r="B10" i="183"/>
  <c r="AP12" i="187"/>
  <c r="AP11" i="187"/>
  <c r="AP10" i="187"/>
  <c r="AL12" i="187"/>
  <c r="AL11" i="187"/>
  <c r="AL10" i="187"/>
  <c r="AH12" i="187"/>
  <c r="AH11" i="187"/>
  <c r="AH10" i="187"/>
  <c r="AK23" i="187"/>
  <c r="AK25" i="187" s="1"/>
  <c r="AJ23" i="187"/>
  <c r="AJ25" i="187" s="1"/>
  <c r="AK13" i="187"/>
  <c r="AK15" i="187" s="1"/>
  <c r="AK31" i="187" s="1"/>
  <c r="AJ13" i="187"/>
  <c r="AL11" i="179"/>
  <c r="AK11" i="179"/>
  <c r="AL7" i="179"/>
  <c r="AL13" i="179" s="1"/>
  <c r="AK7" i="179"/>
  <c r="AP10" i="142"/>
  <c r="AM10" i="142"/>
  <c r="S8" i="74"/>
  <c r="S9" i="74" s="1"/>
  <c r="R8" i="74"/>
  <c r="R9" i="74" s="1"/>
  <c r="R17" i="74"/>
  <c r="R14" i="74"/>
  <c r="R25" i="74" s="1"/>
  <c r="O12" i="134"/>
  <c r="N12" i="134"/>
  <c r="M12" i="134"/>
  <c r="L12" i="134"/>
  <c r="K12" i="134"/>
  <c r="J12" i="134"/>
  <c r="I12" i="134"/>
  <c r="H12" i="134"/>
  <c r="G12" i="134"/>
  <c r="F12" i="134"/>
  <c r="D12" i="134"/>
  <c r="F34" i="134"/>
  <c r="D34" i="134"/>
  <c r="C12" i="134"/>
  <c r="I20" i="134"/>
  <c r="H20" i="134"/>
  <c r="F20" i="134"/>
  <c r="AP44" i="176"/>
  <c r="AP43" i="176"/>
  <c r="AP42" i="176"/>
  <c r="AP41" i="176"/>
  <c r="AP40" i="176"/>
  <c r="AP39" i="176"/>
  <c r="AP38" i="176"/>
  <c r="AP37" i="176"/>
  <c r="AP36" i="176"/>
  <c r="AP35" i="176"/>
  <c r="AP34" i="176"/>
  <c r="AP33" i="176"/>
  <c r="AP32" i="176"/>
  <c r="AP31" i="176"/>
  <c r="AP30" i="176"/>
  <c r="AP29" i="176"/>
  <c r="AP27" i="176"/>
  <c r="AP26" i="176"/>
  <c r="AP25" i="176"/>
  <c r="AP24" i="176"/>
  <c r="AP23" i="176"/>
  <c r="AP22" i="176"/>
  <c r="AP21" i="176"/>
  <c r="AP20" i="176"/>
  <c r="AP19" i="176"/>
  <c r="AP18" i="176"/>
  <c r="AP17" i="176"/>
  <c r="AP13" i="176"/>
  <c r="AH45" i="176"/>
  <c r="AH14" i="176"/>
  <c r="AQ21" i="176"/>
  <c r="AL45" i="176"/>
  <c r="AK45" i="176"/>
  <c r="AM44" i="176"/>
  <c r="AM43" i="176"/>
  <c r="AM42" i="176"/>
  <c r="AM41" i="176"/>
  <c r="AM40" i="176"/>
  <c r="AM39" i="176"/>
  <c r="AM38" i="176"/>
  <c r="AM37" i="176"/>
  <c r="AM36" i="176"/>
  <c r="AM35" i="176"/>
  <c r="AM34" i="176"/>
  <c r="AM33" i="176"/>
  <c r="AM32" i="176"/>
  <c r="AM31" i="176"/>
  <c r="AM30" i="176"/>
  <c r="AM29" i="176"/>
  <c r="AM27" i="176"/>
  <c r="AM26" i="176"/>
  <c r="AM25" i="176"/>
  <c r="AM24" i="176"/>
  <c r="AM23" i="176"/>
  <c r="AM22" i="176"/>
  <c r="AM20" i="176"/>
  <c r="AM19" i="176"/>
  <c r="AM18" i="176"/>
  <c r="AM17" i="176"/>
  <c r="AK13" i="179" l="1"/>
  <c r="AB50" i="68" s="1"/>
  <c r="AJ15" i="187"/>
  <c r="AK17" i="187" s="1"/>
  <c r="AP13" i="187"/>
  <c r="AK14" i="183"/>
  <c r="AJ14" i="183"/>
  <c r="AB56" i="68" s="1"/>
  <c r="AL15" i="179"/>
  <c r="R18" i="74"/>
  <c r="AH47" i="176"/>
  <c r="AK14" i="176"/>
  <c r="AL14" i="176"/>
  <c r="AL47" i="176" s="1"/>
  <c r="AM11" i="176"/>
  <c r="AM10" i="176"/>
  <c r="AM9" i="176"/>
  <c r="AM8" i="176"/>
  <c r="AM7" i="176"/>
  <c r="AM6" i="176"/>
  <c r="AK16" i="183" l="1"/>
  <c r="AJ31" i="187"/>
  <c r="AB57" i="68"/>
  <c r="AK27" i="187"/>
  <c r="AK47" i="176"/>
  <c r="AB47" i="68" s="1"/>
  <c r="AP25" i="173"/>
  <c r="AQ25" i="173" s="1"/>
  <c r="AP24" i="173"/>
  <c r="AQ24" i="173" s="1"/>
  <c r="AP23" i="173"/>
  <c r="AQ23" i="173" s="1"/>
  <c r="AP22" i="173"/>
  <c r="AQ22" i="173" s="1"/>
  <c r="AP21" i="173"/>
  <c r="AQ21" i="173" s="1"/>
  <c r="AP20" i="173"/>
  <c r="AQ20" i="173" s="1"/>
  <c r="AP19" i="173"/>
  <c r="AQ19" i="173" s="1"/>
  <c r="AP18" i="173"/>
  <c r="AQ18" i="173" s="1"/>
  <c r="AP17" i="173"/>
  <c r="AQ17" i="173" s="1"/>
  <c r="AP16" i="173"/>
  <c r="AQ16" i="173" s="1"/>
  <c r="AP15" i="173"/>
  <c r="AQ15" i="173" s="1"/>
  <c r="AP14" i="173"/>
  <c r="AQ14" i="173" s="1"/>
  <c r="AP13" i="173"/>
  <c r="AQ13" i="173" s="1"/>
  <c r="AP12" i="173"/>
  <c r="AP8" i="173"/>
  <c r="AQ8" i="173" s="1"/>
  <c r="AL26" i="173"/>
  <c r="AK26" i="173"/>
  <c r="AM25" i="173"/>
  <c r="AM24" i="173"/>
  <c r="AM23" i="173"/>
  <c r="AM22" i="173"/>
  <c r="AM21" i="173"/>
  <c r="AM20" i="173"/>
  <c r="AM19" i="173"/>
  <c r="AM18" i="173"/>
  <c r="AM17" i="173"/>
  <c r="AM16" i="173"/>
  <c r="AM15" i="173"/>
  <c r="AM14" i="173"/>
  <c r="AM12" i="173"/>
  <c r="AL9" i="173"/>
  <c r="AK9" i="173"/>
  <c r="AK28" i="173" s="1"/>
  <c r="AB43" i="68" s="1"/>
  <c r="AM8" i="173"/>
  <c r="AM7" i="173"/>
  <c r="AM6" i="173"/>
  <c r="AP26" i="173" l="1"/>
  <c r="AQ26" i="173" s="1"/>
  <c r="AL49" i="176"/>
  <c r="AL28" i="173"/>
  <c r="AL30" i="173" s="1"/>
  <c r="AQ12" i="173"/>
  <c r="AH22" i="171"/>
  <c r="AQ20" i="171"/>
  <c r="AQ19" i="171"/>
  <c r="AQ18" i="171"/>
  <c r="AQ17" i="171"/>
  <c r="AQ16" i="171"/>
  <c r="AQ15" i="171"/>
  <c r="AQ14" i="171"/>
  <c r="AQ12" i="171"/>
  <c r="AQ11" i="171"/>
  <c r="AQ10" i="171"/>
  <c r="AM20" i="171"/>
  <c r="AM19" i="171"/>
  <c r="AM18" i="171"/>
  <c r="AM17" i="171"/>
  <c r="AM16" i="171"/>
  <c r="AM15" i="171"/>
  <c r="AM14" i="171"/>
  <c r="AM13" i="171"/>
  <c r="AM12" i="171"/>
  <c r="AM11" i="171"/>
  <c r="AM10" i="171"/>
  <c r="AI10" i="171"/>
  <c r="AK22" i="171" l="1"/>
  <c r="AL22" i="171"/>
  <c r="AL7" i="171"/>
  <c r="AK7" i="171"/>
  <c r="AP44" i="165"/>
  <c r="AQ44" i="165" s="1"/>
  <c r="AP43" i="165"/>
  <c r="AQ43" i="165" s="1"/>
  <c r="AP42" i="165"/>
  <c r="AQ42" i="165" s="1"/>
  <c r="AP41" i="165"/>
  <c r="AP40" i="165"/>
  <c r="AP39" i="165"/>
  <c r="AQ39" i="165" s="1"/>
  <c r="AP38" i="165"/>
  <c r="AQ38" i="165" s="1"/>
  <c r="AP37" i="165"/>
  <c r="AQ37" i="165" s="1"/>
  <c r="AP36" i="165"/>
  <c r="AQ36" i="165" s="1"/>
  <c r="AP35" i="165"/>
  <c r="AQ35" i="165" s="1"/>
  <c r="AP34" i="165"/>
  <c r="AP33" i="165"/>
  <c r="AQ33" i="165" s="1"/>
  <c r="AP32" i="165"/>
  <c r="AQ32" i="165" s="1"/>
  <c r="AP31" i="165"/>
  <c r="AQ31" i="165" s="1"/>
  <c r="AP30" i="165"/>
  <c r="AQ30" i="165" s="1"/>
  <c r="AP29" i="165"/>
  <c r="AQ29" i="165" s="1"/>
  <c r="AP28" i="165"/>
  <c r="AQ28" i="165" s="1"/>
  <c r="AP27" i="165"/>
  <c r="AP26" i="165"/>
  <c r="AQ26" i="165" s="1"/>
  <c r="AP25" i="165"/>
  <c r="AQ25" i="165" s="1"/>
  <c r="AP24" i="165"/>
  <c r="AQ24" i="165" s="1"/>
  <c r="AP23" i="165"/>
  <c r="AQ23" i="165" s="1"/>
  <c r="AP22" i="165"/>
  <c r="AQ22" i="165" s="1"/>
  <c r="AP21" i="165"/>
  <c r="AQ21" i="165" s="1"/>
  <c r="AP20" i="165"/>
  <c r="AQ20" i="165" s="1"/>
  <c r="AP19" i="165"/>
  <c r="AQ19" i="165" s="1"/>
  <c r="AP18" i="165"/>
  <c r="AQ18" i="165" s="1"/>
  <c r="AP17" i="165"/>
  <c r="AP16" i="165"/>
  <c r="AQ16" i="165" s="1"/>
  <c r="AP15" i="165"/>
  <c r="AQ15" i="165" s="1"/>
  <c r="AP14" i="165"/>
  <c r="AQ14" i="165" s="1"/>
  <c r="AG45" i="165"/>
  <c r="AL45" i="165"/>
  <c r="AK45" i="165"/>
  <c r="AM44" i="165"/>
  <c r="AM43" i="165"/>
  <c r="AM42" i="165"/>
  <c r="AM41" i="165"/>
  <c r="AM40" i="165"/>
  <c r="AM39" i="165"/>
  <c r="AM38" i="165"/>
  <c r="AM37" i="165"/>
  <c r="AM36" i="165"/>
  <c r="AM35" i="165"/>
  <c r="AM33" i="165"/>
  <c r="AM32" i="165"/>
  <c r="AM31" i="165"/>
  <c r="AM30" i="165"/>
  <c r="AM29" i="165"/>
  <c r="AM28" i="165"/>
  <c r="AM26" i="165"/>
  <c r="AM25" i="165"/>
  <c r="AM24" i="165"/>
  <c r="AM23" i="165"/>
  <c r="AM22" i="165"/>
  <c r="AM21" i="165"/>
  <c r="AM20" i="165"/>
  <c r="AM19" i="165"/>
  <c r="AM18" i="165"/>
  <c r="AM16" i="165"/>
  <c r="AM15" i="165"/>
  <c r="AM14" i="165"/>
  <c r="AL11" i="165"/>
  <c r="AL47" i="165" s="1"/>
  <c r="AK11" i="165"/>
  <c r="AM10" i="165"/>
  <c r="AM9" i="165"/>
  <c r="AM8" i="165"/>
  <c r="AM7" i="165"/>
  <c r="AM6" i="165"/>
  <c r="AP27" i="167"/>
  <c r="AP26" i="167"/>
  <c r="AP25" i="167"/>
  <c r="AP24" i="167"/>
  <c r="AP23" i="167"/>
  <c r="AP22" i="167"/>
  <c r="AP21" i="167"/>
  <c r="AP20" i="167"/>
  <c r="AP19" i="167"/>
  <c r="AP18" i="167"/>
  <c r="AP17" i="167"/>
  <c r="AP16" i="167"/>
  <c r="AP15" i="167"/>
  <c r="AP14" i="167"/>
  <c r="AP13" i="167"/>
  <c r="AP12" i="167"/>
  <c r="AQ27" i="167"/>
  <c r="AQ26" i="167"/>
  <c r="AQ25" i="167"/>
  <c r="AQ24" i="167"/>
  <c r="AQ23" i="167"/>
  <c r="AQ22" i="167"/>
  <c r="AQ21" i="167"/>
  <c r="AQ20" i="167"/>
  <c r="AQ19" i="167"/>
  <c r="AQ18" i="167"/>
  <c r="AQ17" i="167"/>
  <c r="AQ16" i="167"/>
  <c r="AQ15" i="167"/>
  <c r="AQ14" i="167"/>
  <c r="AQ13" i="167"/>
  <c r="AQ12" i="167"/>
  <c r="AP21" i="162"/>
  <c r="AQ21" i="162" s="1"/>
  <c r="AP20" i="162"/>
  <c r="AQ20" i="162" s="1"/>
  <c r="AP19" i="162"/>
  <c r="AQ19" i="162" s="1"/>
  <c r="AP18" i="162"/>
  <c r="AP17" i="162"/>
  <c r="AP16" i="162"/>
  <c r="AQ16" i="162" s="1"/>
  <c r="AP15" i="162"/>
  <c r="AM6" i="162"/>
  <c r="AM8" i="162"/>
  <c r="AM9" i="162"/>
  <c r="AM10" i="162"/>
  <c r="AM11" i="162"/>
  <c r="AM15" i="162"/>
  <c r="AM16" i="162"/>
  <c r="AM18" i="162"/>
  <c r="AM19" i="162"/>
  <c r="AM20" i="162"/>
  <c r="AM21" i="162"/>
  <c r="AL22" i="162"/>
  <c r="AK22" i="162"/>
  <c r="AL12" i="162"/>
  <c r="AK12" i="162"/>
  <c r="AK24" i="162" s="1"/>
  <c r="AB29" i="68" s="1"/>
  <c r="AM45" i="165" l="1"/>
  <c r="AK47" i="165"/>
  <c r="AB32" i="68" s="1"/>
  <c r="AL24" i="162"/>
  <c r="AL26" i="162" s="1"/>
  <c r="AP28" i="167"/>
  <c r="AK24" i="171"/>
  <c r="AB40" i="68" s="1"/>
  <c r="AL24" i="171"/>
  <c r="AQ28" i="160"/>
  <c r="AP44" i="160"/>
  <c r="AP43" i="160"/>
  <c r="AP42" i="160"/>
  <c r="AP41" i="160"/>
  <c r="AP40" i="160"/>
  <c r="AP39" i="160"/>
  <c r="AP38" i="160"/>
  <c r="AP37" i="160"/>
  <c r="AP36" i="160"/>
  <c r="AP35" i="160"/>
  <c r="AP34" i="160"/>
  <c r="AP33" i="160"/>
  <c r="AP32" i="160"/>
  <c r="AP31" i="160"/>
  <c r="AP30" i="160"/>
  <c r="AP29" i="160"/>
  <c r="AP28" i="160"/>
  <c r="AP27" i="160"/>
  <c r="AP26" i="160"/>
  <c r="AP25" i="160"/>
  <c r="AP24" i="160"/>
  <c r="AP23" i="160"/>
  <c r="AP22" i="160"/>
  <c r="AP21" i="160"/>
  <c r="AP20" i="160"/>
  <c r="AP19" i="160"/>
  <c r="AP18" i="160"/>
  <c r="AP17" i="160"/>
  <c r="AP13" i="160"/>
  <c r="AP12" i="160"/>
  <c r="AP9" i="160"/>
  <c r="AP6" i="160"/>
  <c r="AH45" i="160"/>
  <c r="AI30" i="160"/>
  <c r="B7" i="160"/>
  <c r="AQ44" i="160"/>
  <c r="AQ43" i="160"/>
  <c r="AQ42" i="160"/>
  <c r="AQ41" i="160"/>
  <c r="AQ40" i="160"/>
  <c r="AQ39" i="160"/>
  <c r="AQ38" i="160"/>
  <c r="AQ37" i="160"/>
  <c r="AQ36" i="160"/>
  <c r="AQ35" i="160"/>
  <c r="AQ34" i="160"/>
  <c r="AQ33" i="160"/>
  <c r="AQ32" i="160"/>
  <c r="AQ31" i="160"/>
  <c r="AQ30" i="160"/>
  <c r="AQ29" i="160"/>
  <c r="AQ27" i="160"/>
  <c r="AQ26" i="160"/>
  <c r="AQ25" i="160"/>
  <c r="AQ24" i="160"/>
  <c r="AQ23" i="160"/>
  <c r="AQ22" i="160"/>
  <c r="AQ21" i="160"/>
  <c r="AQ20" i="160"/>
  <c r="AQ19" i="160"/>
  <c r="AQ18" i="160"/>
  <c r="AQ17" i="160"/>
  <c r="AQ12" i="160"/>
  <c r="AQ9" i="160"/>
  <c r="AQ6" i="160"/>
  <c r="AK57" i="160"/>
  <c r="AL45" i="160"/>
  <c r="AK45" i="160"/>
  <c r="AM44" i="160"/>
  <c r="AM43" i="160"/>
  <c r="AM42" i="160"/>
  <c r="AM41" i="160"/>
  <c r="AM40" i="160"/>
  <c r="AM39" i="160"/>
  <c r="AM38" i="160"/>
  <c r="AM37" i="160"/>
  <c r="AM36" i="160"/>
  <c r="AM35" i="160"/>
  <c r="AM34" i="160"/>
  <c r="AM33" i="160"/>
  <c r="AM32" i="160"/>
  <c r="AM31" i="160"/>
  <c r="AM30" i="160"/>
  <c r="AM29" i="160"/>
  <c r="AM28" i="160"/>
  <c r="AM27" i="160"/>
  <c r="AM26" i="160"/>
  <c r="AM25" i="160"/>
  <c r="AM24" i="160"/>
  <c r="AM23" i="160"/>
  <c r="AM22" i="160"/>
  <c r="AM21" i="160"/>
  <c r="AM20" i="160"/>
  <c r="AM19" i="160"/>
  <c r="AM18" i="160"/>
  <c r="AM17" i="160"/>
  <c r="AL14" i="160"/>
  <c r="AK14" i="160"/>
  <c r="AM12" i="160"/>
  <c r="AM11" i="160"/>
  <c r="AM10" i="160"/>
  <c r="AM9" i="160"/>
  <c r="AM8" i="160"/>
  <c r="AM7" i="160"/>
  <c r="AM6" i="160"/>
  <c r="AL49" i="165" l="1"/>
  <c r="AK47" i="160"/>
  <c r="AL47" i="160"/>
  <c r="AL26" i="171"/>
  <c r="AL14" i="170"/>
  <c r="AK14" i="170"/>
  <c r="AL7" i="170"/>
  <c r="AL16" i="170" s="1"/>
  <c r="AK7" i="170"/>
  <c r="AK16" i="170" s="1"/>
  <c r="AB39" i="68" s="1"/>
  <c r="AP41" i="169"/>
  <c r="AP40" i="169"/>
  <c r="AP39" i="169"/>
  <c r="AP37" i="169"/>
  <c r="AP36" i="169"/>
  <c r="AP35" i="169"/>
  <c r="AP34" i="169"/>
  <c r="AP33" i="169"/>
  <c r="AP32" i="169"/>
  <c r="AP31" i="169"/>
  <c r="AP30" i="169"/>
  <c r="AP29" i="169"/>
  <c r="AP28" i="169"/>
  <c r="AP27" i="169"/>
  <c r="AP26" i="169"/>
  <c r="AP25" i="169"/>
  <c r="AP24" i="169"/>
  <c r="AP23" i="169"/>
  <c r="AP22" i="169"/>
  <c r="AP21" i="169"/>
  <c r="AP20" i="169"/>
  <c r="AP19" i="169"/>
  <c r="AP18" i="169"/>
  <c r="AP17" i="169"/>
  <c r="AP16" i="169"/>
  <c r="AP15" i="169"/>
  <c r="AP14" i="169"/>
  <c r="AP13" i="169"/>
  <c r="AP9" i="169"/>
  <c r="AQ41" i="169"/>
  <c r="AQ40" i="169"/>
  <c r="AQ39" i="169"/>
  <c r="AQ37" i="169"/>
  <c r="AQ36" i="169"/>
  <c r="AQ35" i="169"/>
  <c r="AQ34" i="169"/>
  <c r="AQ33" i="169"/>
  <c r="AQ32" i="169"/>
  <c r="AQ31" i="169"/>
  <c r="AQ29" i="169"/>
  <c r="AQ28" i="169"/>
  <c r="AQ27" i="169"/>
  <c r="AQ26" i="169"/>
  <c r="AQ25" i="169"/>
  <c r="AQ24" i="169"/>
  <c r="AQ23" i="169"/>
  <c r="AQ22" i="169"/>
  <c r="AQ21" i="169"/>
  <c r="AQ20" i="169"/>
  <c r="AQ19" i="169"/>
  <c r="AQ18" i="169"/>
  <c r="AQ17" i="169"/>
  <c r="AQ16" i="169"/>
  <c r="AQ15" i="169"/>
  <c r="AQ14" i="169"/>
  <c r="AQ13" i="169"/>
  <c r="AQ9" i="169"/>
  <c r="AK42" i="169"/>
  <c r="AL42" i="169"/>
  <c r="AM41" i="169"/>
  <c r="AM40" i="169"/>
  <c r="AM39" i="169"/>
  <c r="AM37" i="169"/>
  <c r="AM36" i="169"/>
  <c r="AM35" i="169"/>
  <c r="AM34" i="169"/>
  <c r="AM33" i="169"/>
  <c r="AM32" i="169"/>
  <c r="AM31" i="169"/>
  <c r="AM29" i="169"/>
  <c r="AM28" i="169"/>
  <c r="AM27" i="169"/>
  <c r="AM26" i="169"/>
  <c r="AM25" i="169"/>
  <c r="AM24" i="169"/>
  <c r="AM23" i="169"/>
  <c r="AM22" i="169"/>
  <c r="AM21" i="169"/>
  <c r="AM20" i="169"/>
  <c r="AM19" i="169"/>
  <c r="AM18" i="169"/>
  <c r="AM17" i="169"/>
  <c r="AM16" i="169"/>
  <c r="AM15" i="169"/>
  <c r="AM14" i="169"/>
  <c r="AM13" i="169"/>
  <c r="AL10" i="169"/>
  <c r="AL44" i="169" s="1"/>
  <c r="AK10" i="169"/>
  <c r="AK44" i="169" s="1"/>
  <c r="AB38" i="68" s="1"/>
  <c r="AM9" i="169"/>
  <c r="AM8" i="169"/>
  <c r="AM7" i="169"/>
  <c r="AM6" i="169"/>
  <c r="AQ72" i="161"/>
  <c r="AQ71" i="161"/>
  <c r="AQ70" i="161"/>
  <c r="AQ69" i="161"/>
  <c r="AQ68" i="161"/>
  <c r="AQ67" i="161"/>
  <c r="AQ66" i="161"/>
  <c r="AQ65" i="161"/>
  <c r="AQ64" i="161"/>
  <c r="AQ63" i="161"/>
  <c r="AQ62" i="161"/>
  <c r="AQ61" i="161"/>
  <c r="AQ60" i="161"/>
  <c r="AQ59" i="161"/>
  <c r="AQ58" i="161"/>
  <c r="AQ57" i="161"/>
  <c r="AQ56" i="161"/>
  <c r="AQ55" i="161"/>
  <c r="AQ54" i="161"/>
  <c r="AQ53" i="161"/>
  <c r="AQ52" i="161"/>
  <c r="AQ51" i="161"/>
  <c r="AQ50" i="161"/>
  <c r="AQ49" i="161"/>
  <c r="AQ48" i="161"/>
  <c r="AQ47" i="161"/>
  <c r="AQ46" i="161"/>
  <c r="AQ45" i="161"/>
  <c r="AQ44" i="161"/>
  <c r="AQ43" i="161"/>
  <c r="AQ42" i="161"/>
  <c r="AQ41" i="161"/>
  <c r="AQ40" i="161"/>
  <c r="AQ39" i="161"/>
  <c r="AQ38" i="161"/>
  <c r="AQ37" i="161"/>
  <c r="AQ36" i="161"/>
  <c r="AQ35" i="161"/>
  <c r="AQ34" i="161"/>
  <c r="AQ33" i="161"/>
  <c r="AQ30" i="161"/>
  <c r="AQ22" i="161"/>
  <c r="AQ20" i="161"/>
  <c r="AQ18" i="161"/>
  <c r="AP72" i="161"/>
  <c r="AP71" i="161"/>
  <c r="AP70" i="161"/>
  <c r="AP69" i="161"/>
  <c r="AP68" i="161"/>
  <c r="AP67" i="161"/>
  <c r="AP66" i="161"/>
  <c r="AP65" i="161"/>
  <c r="AP64" i="161"/>
  <c r="AP63" i="161"/>
  <c r="AP62" i="161"/>
  <c r="AP61" i="161"/>
  <c r="AP60" i="161"/>
  <c r="AP59" i="161"/>
  <c r="AP58" i="161"/>
  <c r="AP57" i="161"/>
  <c r="AP56" i="161"/>
  <c r="AP55" i="161"/>
  <c r="AP54" i="161"/>
  <c r="AP53" i="161"/>
  <c r="AP52" i="161"/>
  <c r="AP51" i="161"/>
  <c r="AP50" i="161"/>
  <c r="AP49" i="161"/>
  <c r="AP48" i="161"/>
  <c r="AP47" i="161"/>
  <c r="AP46" i="161"/>
  <c r="AP45" i="161"/>
  <c r="AP44" i="161"/>
  <c r="AP43" i="161"/>
  <c r="AP42" i="161"/>
  <c r="AP41" i="161"/>
  <c r="AP40" i="161"/>
  <c r="AP39" i="161"/>
  <c r="AP38" i="161"/>
  <c r="AP37" i="161"/>
  <c r="AP36" i="161"/>
  <c r="AP35" i="161"/>
  <c r="AP34" i="161"/>
  <c r="AP33" i="161"/>
  <c r="AP30" i="161"/>
  <c r="AP27" i="161"/>
  <c r="AP26" i="161"/>
  <c r="AP24" i="161"/>
  <c r="AP22" i="161"/>
  <c r="AP20" i="161"/>
  <c r="AP18" i="161"/>
  <c r="AP17" i="161"/>
  <c r="AP16" i="161"/>
  <c r="AM72" i="161"/>
  <c r="AM71" i="161"/>
  <c r="AM70" i="161"/>
  <c r="AM69" i="161"/>
  <c r="AM68" i="161"/>
  <c r="AM67" i="161"/>
  <c r="AM66" i="161"/>
  <c r="AM65" i="161"/>
  <c r="AM64" i="161"/>
  <c r="AM63" i="161"/>
  <c r="AM62" i="161"/>
  <c r="AM61" i="161"/>
  <c r="AM60" i="161"/>
  <c r="AM59" i="161"/>
  <c r="AM58" i="161"/>
  <c r="AM57" i="161"/>
  <c r="AM56" i="161"/>
  <c r="AM55" i="161"/>
  <c r="AM54" i="161"/>
  <c r="AM53" i="161"/>
  <c r="AM52" i="161"/>
  <c r="AM51" i="161"/>
  <c r="AM50" i="161"/>
  <c r="AM49" i="161"/>
  <c r="AM48" i="161"/>
  <c r="AM47" i="161"/>
  <c r="AM46" i="161"/>
  <c r="AM45" i="161"/>
  <c r="AM44" i="161"/>
  <c r="AM43" i="161"/>
  <c r="AM42" i="161"/>
  <c r="AM41" i="161"/>
  <c r="AM40" i="161"/>
  <c r="AM39" i="161"/>
  <c r="AM38" i="161"/>
  <c r="AM37" i="161"/>
  <c r="AM36" i="161"/>
  <c r="AM35" i="161"/>
  <c r="AM34" i="161"/>
  <c r="AM33" i="161"/>
  <c r="AM32" i="161"/>
  <c r="AM31" i="161"/>
  <c r="AM30" i="161"/>
  <c r="AM29" i="161"/>
  <c r="AM28" i="161"/>
  <c r="AM23" i="161"/>
  <c r="AM22" i="161"/>
  <c r="AM21" i="161"/>
  <c r="AM19" i="161"/>
  <c r="AM18" i="161"/>
  <c r="AM17" i="161"/>
  <c r="AM16" i="161"/>
  <c r="AM15" i="161"/>
  <c r="AM14" i="161"/>
  <c r="AM13" i="161"/>
  <c r="AM12" i="161"/>
  <c r="AM11" i="161"/>
  <c r="AM10" i="161"/>
  <c r="AM9" i="161"/>
  <c r="AM8" i="161"/>
  <c r="AM7" i="161"/>
  <c r="AM6" i="161"/>
  <c r="AK25" i="161"/>
  <c r="AL73" i="161"/>
  <c r="AK73" i="161"/>
  <c r="AL25" i="161"/>
  <c r="AP15" i="153"/>
  <c r="AP14" i="153"/>
  <c r="AP13" i="153"/>
  <c r="AP12" i="153"/>
  <c r="AP11" i="153"/>
  <c r="AP10" i="153"/>
  <c r="AK16" i="153"/>
  <c r="AQ15" i="153"/>
  <c r="AQ14" i="153"/>
  <c r="AQ13" i="153"/>
  <c r="AQ12" i="153"/>
  <c r="AQ11" i="153"/>
  <c r="AQ10" i="153"/>
  <c r="AM15" i="153"/>
  <c r="AM14" i="153"/>
  <c r="AM13" i="153"/>
  <c r="AM12" i="153"/>
  <c r="AM11" i="153"/>
  <c r="AM10" i="153"/>
  <c r="AM6" i="153"/>
  <c r="AK7" i="153"/>
  <c r="AK18" i="153" s="1"/>
  <c r="AL7" i="153"/>
  <c r="AL16" i="153"/>
  <c r="AP11" i="185"/>
  <c r="AP13" i="185"/>
  <c r="AP12" i="185"/>
  <c r="AP10" i="185"/>
  <c r="AO14" i="185"/>
  <c r="AO16" i="185" s="1"/>
  <c r="AK7" i="185"/>
  <c r="AK16" i="185" s="1"/>
  <c r="AQ11" i="185"/>
  <c r="AQ13" i="185"/>
  <c r="AQ12" i="185"/>
  <c r="AQ10" i="185"/>
  <c r="AG14" i="185"/>
  <c r="AG16" i="185" s="1"/>
  <c r="AM11" i="185"/>
  <c r="AM13" i="185"/>
  <c r="AM12" i="185"/>
  <c r="AM10" i="185"/>
  <c r="AB7" i="185"/>
  <c r="AB14" i="185"/>
  <c r="AI14" i="185"/>
  <c r="AI11" i="185"/>
  <c r="AI13" i="185"/>
  <c r="AI12" i="185"/>
  <c r="AI10" i="185"/>
  <c r="AL7" i="185"/>
  <c r="AL14" i="185"/>
  <c r="AL16" i="185" s="1"/>
  <c r="AP11" i="184"/>
  <c r="AP18" i="184"/>
  <c r="AQ18" i="184" s="1"/>
  <c r="AP19" i="184"/>
  <c r="AQ19" i="184" s="1"/>
  <c r="AP16" i="184"/>
  <c r="AQ16" i="184" s="1"/>
  <c r="AP23" i="184"/>
  <c r="AP20" i="184"/>
  <c r="AQ20" i="184" s="1"/>
  <c r="AP21" i="184"/>
  <c r="AQ21" i="184" s="1"/>
  <c r="AQ23" i="184"/>
  <c r="AQ11" i="184"/>
  <c r="AM10" i="184"/>
  <c r="AI10" i="184"/>
  <c r="AK7" i="184"/>
  <c r="AK26" i="184" s="1"/>
  <c r="AL7" i="184"/>
  <c r="AG7" i="184"/>
  <c r="AG26" i="184" s="1"/>
  <c r="AM24" i="184"/>
  <c r="AM17" i="184"/>
  <c r="AM16" i="184"/>
  <c r="AM19" i="184"/>
  <c r="AM18" i="184"/>
  <c r="AM15" i="184"/>
  <c r="AM14" i="184"/>
  <c r="AM13" i="184"/>
  <c r="AM12" i="184"/>
  <c r="AM11" i="184"/>
  <c r="AM13" i="174"/>
  <c r="AM14" i="174"/>
  <c r="AM12" i="174"/>
  <c r="AM11" i="174"/>
  <c r="AM10" i="174"/>
  <c r="AP10" i="174"/>
  <c r="AP11" i="174"/>
  <c r="AP12" i="174"/>
  <c r="AP14" i="174"/>
  <c r="AP13" i="174"/>
  <c r="AK15" i="174"/>
  <c r="AK7" i="174"/>
  <c r="AQ13" i="174"/>
  <c r="AQ14" i="174"/>
  <c r="AQ12" i="174"/>
  <c r="AQ11" i="174"/>
  <c r="AQ10" i="174"/>
  <c r="AL7" i="174"/>
  <c r="AL15" i="174"/>
  <c r="AK9" i="167"/>
  <c r="AK28" i="167"/>
  <c r="AL9" i="167"/>
  <c r="AL28" i="167"/>
  <c r="AM27" i="167"/>
  <c r="AM26" i="167"/>
  <c r="AM25" i="167"/>
  <c r="AM24" i="167"/>
  <c r="AM23" i="167"/>
  <c r="AM22" i="167"/>
  <c r="AM21" i="167"/>
  <c r="AM20" i="167"/>
  <c r="AM19" i="167"/>
  <c r="AM18" i="167"/>
  <c r="AM17" i="167"/>
  <c r="AM16" i="167"/>
  <c r="AM15" i="167"/>
  <c r="AM14" i="167"/>
  <c r="AM13" i="167"/>
  <c r="AM12" i="167"/>
  <c r="AM7" i="167"/>
  <c r="AM6" i="167"/>
  <c r="AP10" i="166"/>
  <c r="AK11" i="166"/>
  <c r="AK13" i="166" s="1"/>
  <c r="AQ10" i="166"/>
  <c r="AM10" i="166"/>
  <c r="AL11" i="166"/>
  <c r="AL13" i="166" s="1"/>
  <c r="AL15" i="166" s="1"/>
  <c r="AO8" i="164"/>
  <c r="AP16" i="164"/>
  <c r="AP15" i="164"/>
  <c r="AP13" i="164"/>
  <c r="AP12" i="164"/>
  <c r="AP14" i="164"/>
  <c r="AQ14" i="164" s="1"/>
  <c r="AH9" i="164"/>
  <c r="AH18" i="164"/>
  <c r="AK9" i="164"/>
  <c r="AQ16" i="164"/>
  <c r="AQ13" i="164"/>
  <c r="AM6" i="164"/>
  <c r="AL9" i="164"/>
  <c r="AM16" i="164"/>
  <c r="AM14" i="164"/>
  <c r="AM13" i="164"/>
  <c r="AM8" i="164"/>
  <c r="AO6" i="163"/>
  <c r="AP6" i="163" s="1"/>
  <c r="AP11" i="163"/>
  <c r="AP12" i="163"/>
  <c r="AP13" i="163"/>
  <c r="AP14" i="163"/>
  <c r="AP15" i="163"/>
  <c r="AP16" i="163"/>
  <c r="AP17" i="163"/>
  <c r="AP18" i="163"/>
  <c r="AM11" i="163"/>
  <c r="AK19" i="163"/>
  <c r="AK8" i="163"/>
  <c r="AQ18" i="163"/>
  <c r="AQ17" i="163"/>
  <c r="AQ16" i="163"/>
  <c r="AQ15" i="163"/>
  <c r="AQ14" i="163"/>
  <c r="AQ13" i="163"/>
  <c r="AQ12" i="163"/>
  <c r="AQ11" i="163"/>
  <c r="AQ6" i="163"/>
  <c r="AM7" i="163"/>
  <c r="AM6" i="163"/>
  <c r="AL8" i="163"/>
  <c r="AL19" i="163"/>
  <c r="AM18" i="163"/>
  <c r="AM17" i="163"/>
  <c r="AM16" i="163"/>
  <c r="AM15" i="163"/>
  <c r="AM14" i="163"/>
  <c r="AP22" i="158"/>
  <c r="AP18" i="158"/>
  <c r="AP17" i="158"/>
  <c r="AP13" i="158"/>
  <c r="AK7" i="158"/>
  <c r="AK23" i="158"/>
  <c r="AQ19" i="158"/>
  <c r="AQ18" i="158"/>
  <c r="AQ17" i="158"/>
  <c r="AQ16" i="158"/>
  <c r="AQ13" i="158"/>
  <c r="AQ11" i="158"/>
  <c r="AQ10" i="158"/>
  <c r="AG23" i="158"/>
  <c r="AM22" i="158"/>
  <c r="AM19" i="158"/>
  <c r="AM18" i="158"/>
  <c r="AM17" i="158"/>
  <c r="AM16" i="158"/>
  <c r="AM13" i="158"/>
  <c r="AM11" i="158"/>
  <c r="AM10" i="158"/>
  <c r="B14" i="158"/>
  <c r="B12" i="158"/>
  <c r="AL7" i="158"/>
  <c r="AL23" i="158"/>
  <c r="AO42" i="157"/>
  <c r="AO44" i="157" s="1"/>
  <c r="AL42" i="157"/>
  <c r="AL44" i="157" s="1"/>
  <c r="AP23" i="157"/>
  <c r="AQ23" i="157" s="1"/>
  <c r="AP21" i="157"/>
  <c r="AQ21" i="157" s="1"/>
  <c r="AP20" i="157"/>
  <c r="AQ20" i="157" s="1"/>
  <c r="AP19" i="157"/>
  <c r="AQ19" i="157" s="1"/>
  <c r="AP17" i="157"/>
  <c r="AQ17" i="157" s="1"/>
  <c r="AP16" i="157"/>
  <c r="AP15" i="157"/>
  <c r="AP24" i="157" s="1"/>
  <c r="AP7" i="157"/>
  <c r="AP13" i="157" s="1"/>
  <c r="AM23" i="157"/>
  <c r="AM21" i="157"/>
  <c r="AM20" i="157"/>
  <c r="AM19" i="157"/>
  <c r="AM17" i="157"/>
  <c r="AM16" i="157"/>
  <c r="AM15" i="157"/>
  <c r="AM7" i="157"/>
  <c r="AI21" i="157"/>
  <c r="AI20" i="157"/>
  <c r="AI19" i="157"/>
  <c r="AI17" i="157"/>
  <c r="AI16" i="157"/>
  <c r="AI15" i="157"/>
  <c r="AK42" i="157"/>
  <c r="AK44" i="157" s="1"/>
  <c r="AP10" i="156"/>
  <c r="AP11" i="156"/>
  <c r="AP12" i="156"/>
  <c r="AP13" i="156"/>
  <c r="AP7" i="156"/>
  <c r="AK7" i="156"/>
  <c r="AK14" i="156"/>
  <c r="AK16" i="156"/>
  <c r="AB22" i="68" s="1"/>
  <c r="AO7" i="156"/>
  <c r="AO14" i="156"/>
  <c r="AO16" i="156" s="1"/>
  <c r="AQ13" i="156"/>
  <c r="AQ12" i="156"/>
  <c r="AG7" i="156"/>
  <c r="AG14" i="156"/>
  <c r="AG16" i="156" s="1"/>
  <c r="AM13" i="156"/>
  <c r="AM12" i="156"/>
  <c r="AL7" i="156"/>
  <c r="AL14" i="156"/>
  <c r="AC14" i="156"/>
  <c r="AB14" i="156"/>
  <c r="AK7" i="146"/>
  <c r="AK13" i="146"/>
  <c r="AP12" i="146"/>
  <c r="AP11" i="146"/>
  <c r="AP10" i="146"/>
  <c r="AQ12" i="146"/>
  <c r="AQ11" i="146"/>
  <c r="AQ10" i="146"/>
  <c r="AM12" i="146"/>
  <c r="AM11" i="146"/>
  <c r="AM10" i="146"/>
  <c r="AL7" i="146"/>
  <c r="AL13" i="146"/>
  <c r="AP19" i="144"/>
  <c r="AQ19" i="144" s="1"/>
  <c r="AP18" i="144"/>
  <c r="AQ18" i="144" s="1"/>
  <c r="AP17" i="144"/>
  <c r="AQ17" i="144" s="1"/>
  <c r="AP16" i="144"/>
  <c r="AQ16" i="144" s="1"/>
  <c r="AP15" i="144"/>
  <c r="AQ15" i="144" s="1"/>
  <c r="AP14" i="144"/>
  <c r="AQ14" i="144" s="1"/>
  <c r="AP13" i="144"/>
  <c r="AQ13" i="144" s="1"/>
  <c r="AP12" i="144"/>
  <c r="AQ12" i="144" s="1"/>
  <c r="AP11" i="144"/>
  <c r="AQ11" i="144" s="1"/>
  <c r="AK20" i="144"/>
  <c r="AL8" i="144"/>
  <c r="AK8" i="144"/>
  <c r="AL20" i="144"/>
  <c r="AM19" i="144"/>
  <c r="AM18" i="144"/>
  <c r="AM17" i="144"/>
  <c r="AM16" i="144"/>
  <c r="AM15" i="144"/>
  <c r="AM14" i="144"/>
  <c r="AM13" i="144"/>
  <c r="AM12" i="144"/>
  <c r="AM11" i="144"/>
  <c r="AM7" i="144"/>
  <c r="AM6" i="144"/>
  <c r="AP10" i="177"/>
  <c r="AP11" i="177"/>
  <c r="AK7" i="177"/>
  <c r="AK14" i="177" s="1"/>
  <c r="AB48" i="68" s="1"/>
  <c r="AL7" i="177"/>
  <c r="AL14" i="177" s="1"/>
  <c r="AP41" i="175"/>
  <c r="AP40" i="175"/>
  <c r="AP39" i="175"/>
  <c r="AP38" i="175"/>
  <c r="AP37" i="175"/>
  <c r="AP36" i="175"/>
  <c r="AP35" i="175"/>
  <c r="AP34" i="175"/>
  <c r="AP33" i="175"/>
  <c r="AP32" i="175"/>
  <c r="AP31" i="175"/>
  <c r="AP30" i="175"/>
  <c r="AP29" i="175"/>
  <c r="AP28" i="175"/>
  <c r="AP27" i="175"/>
  <c r="AP26" i="175"/>
  <c r="AP25" i="175"/>
  <c r="AP24" i="175"/>
  <c r="AP23" i="175"/>
  <c r="AP22" i="175"/>
  <c r="AP21" i="175"/>
  <c r="AP20" i="175"/>
  <c r="AP19" i="175"/>
  <c r="AP18" i="175"/>
  <c r="AP17" i="175"/>
  <c r="AP16" i="175"/>
  <c r="AP15" i="175"/>
  <c r="AP11" i="175"/>
  <c r="AK42" i="175"/>
  <c r="AQ42" i="175" s="1"/>
  <c r="AQ41" i="175"/>
  <c r="AQ40" i="175"/>
  <c r="AQ39" i="175"/>
  <c r="AQ38" i="175"/>
  <c r="AQ37" i="175"/>
  <c r="AQ36" i="175"/>
  <c r="AQ35" i="175"/>
  <c r="AQ34" i="175"/>
  <c r="AQ33" i="175"/>
  <c r="AQ32" i="175"/>
  <c r="AQ31" i="175"/>
  <c r="AQ30" i="175"/>
  <c r="AQ29" i="175"/>
  <c r="AQ28" i="175"/>
  <c r="AQ27" i="175"/>
  <c r="AQ26" i="175"/>
  <c r="AQ25" i="175"/>
  <c r="AQ24" i="175"/>
  <c r="AQ23" i="175"/>
  <c r="AQ22" i="175"/>
  <c r="AQ21" i="175"/>
  <c r="AQ20" i="175"/>
  <c r="AQ19" i="175"/>
  <c r="AQ18" i="175"/>
  <c r="AQ11" i="175"/>
  <c r="AQ10" i="175"/>
  <c r="AG42" i="175"/>
  <c r="AM41" i="175"/>
  <c r="AM40" i="175"/>
  <c r="AM39" i="175"/>
  <c r="AM38" i="175"/>
  <c r="AM37" i="175"/>
  <c r="AM36" i="175"/>
  <c r="AM35" i="175"/>
  <c r="AM34" i="175"/>
  <c r="AM33" i="175"/>
  <c r="AM32" i="175"/>
  <c r="AM31" i="175"/>
  <c r="AM30" i="175"/>
  <c r="AM29" i="175"/>
  <c r="AM28" i="175"/>
  <c r="AM27" i="175"/>
  <c r="AM26" i="175"/>
  <c r="AM25" i="175"/>
  <c r="AM24" i="175"/>
  <c r="AM23" i="175"/>
  <c r="AM22" i="175"/>
  <c r="AM21" i="175"/>
  <c r="AM20" i="175"/>
  <c r="AM19" i="175"/>
  <c r="AM18" i="175"/>
  <c r="AM17" i="175"/>
  <c r="AM11" i="175"/>
  <c r="AM9" i="175"/>
  <c r="AM8" i="175"/>
  <c r="AM7" i="175"/>
  <c r="AM6" i="175"/>
  <c r="AM49" i="159"/>
  <c r="AK21" i="159"/>
  <c r="AP51" i="159"/>
  <c r="AP50" i="159"/>
  <c r="AP48" i="159"/>
  <c r="AP47" i="159"/>
  <c r="AP46" i="159"/>
  <c r="AP45" i="159"/>
  <c r="AP44" i="159"/>
  <c r="AP43" i="159"/>
  <c r="AP42" i="159"/>
  <c r="AP41" i="159"/>
  <c r="AP40" i="159"/>
  <c r="AP39" i="159"/>
  <c r="AP38" i="159"/>
  <c r="AP37" i="159"/>
  <c r="AP36" i="159"/>
  <c r="AP35" i="159"/>
  <c r="AP34" i="159"/>
  <c r="AP33" i="159"/>
  <c r="AP32" i="159"/>
  <c r="AP31" i="159"/>
  <c r="AP30" i="159"/>
  <c r="AP29" i="159"/>
  <c r="AP28" i="159"/>
  <c r="AP27" i="159"/>
  <c r="AP26" i="159"/>
  <c r="AP25" i="159"/>
  <c r="AP24" i="159"/>
  <c r="AO19" i="159"/>
  <c r="AP19" i="159" s="1"/>
  <c r="AO18" i="159"/>
  <c r="AP18" i="159" s="1"/>
  <c r="AO16" i="159"/>
  <c r="AP16" i="159" s="1"/>
  <c r="AO15" i="159"/>
  <c r="AO14" i="159"/>
  <c r="AP14" i="159" s="1"/>
  <c r="AO12" i="159"/>
  <c r="AQ12" i="159" s="1"/>
  <c r="AO11" i="159"/>
  <c r="AP11" i="159" s="1"/>
  <c r="AO10" i="159"/>
  <c r="AP6" i="159"/>
  <c r="AK52" i="159"/>
  <c r="AK54" i="159" s="1"/>
  <c r="AB26" i="68" s="1"/>
  <c r="AQ48" i="159"/>
  <c r="AQ47" i="159"/>
  <c r="AQ46" i="159"/>
  <c r="AQ45" i="159"/>
  <c r="AQ44" i="159"/>
  <c r="AQ43" i="159"/>
  <c r="AQ42" i="159"/>
  <c r="AQ41" i="159"/>
  <c r="AQ40" i="159"/>
  <c r="AQ39" i="159"/>
  <c r="AQ38" i="159"/>
  <c r="AQ37" i="159"/>
  <c r="AQ36" i="159"/>
  <c r="AQ35" i="159"/>
  <c r="AQ34" i="159"/>
  <c r="AQ33" i="159"/>
  <c r="AQ32" i="159"/>
  <c r="AQ31" i="159"/>
  <c r="AQ30" i="159"/>
  <c r="AQ29" i="159"/>
  <c r="AQ28" i="159"/>
  <c r="AQ27" i="159"/>
  <c r="AQ26" i="159"/>
  <c r="AQ25" i="159"/>
  <c r="AQ24" i="159"/>
  <c r="AQ18" i="159"/>
  <c r="AQ6" i="159"/>
  <c r="AK66" i="159"/>
  <c r="AL21" i="159"/>
  <c r="AL52" i="159"/>
  <c r="AG52" i="159"/>
  <c r="AM52" i="159" s="1"/>
  <c r="AG21" i="159"/>
  <c r="AM48" i="159"/>
  <c r="AM47" i="159"/>
  <c r="AM46" i="159"/>
  <c r="AM45" i="159"/>
  <c r="AM44" i="159"/>
  <c r="AM43" i="159"/>
  <c r="AM42" i="159"/>
  <c r="AM41" i="159"/>
  <c r="AM40" i="159"/>
  <c r="AM39" i="159"/>
  <c r="AM38" i="159"/>
  <c r="AM37" i="159"/>
  <c r="AM36" i="159"/>
  <c r="AM35" i="159"/>
  <c r="AM34" i="159"/>
  <c r="AM33" i="159"/>
  <c r="AM32" i="159"/>
  <c r="AM31" i="159"/>
  <c r="AM30" i="159"/>
  <c r="AM29" i="159"/>
  <c r="AM28" i="159"/>
  <c r="AM27" i="159"/>
  <c r="AM26" i="159"/>
  <c r="AM25" i="159"/>
  <c r="AM24" i="159"/>
  <c r="AM21" i="159"/>
  <c r="AM19" i="159"/>
  <c r="AM18" i="159"/>
  <c r="AM16" i="159"/>
  <c r="AM15" i="159"/>
  <c r="AM14" i="159"/>
  <c r="AM12" i="159"/>
  <c r="AM11" i="159"/>
  <c r="AM10" i="159"/>
  <c r="AM20" i="159"/>
  <c r="AM9" i="159"/>
  <c r="AM8" i="159"/>
  <c r="AM7" i="159"/>
  <c r="AM13" i="159"/>
  <c r="AM6" i="159"/>
  <c r="AP12" i="178"/>
  <c r="AP11" i="178"/>
  <c r="AP17" i="152"/>
  <c r="AP16" i="152"/>
  <c r="AP15" i="152"/>
  <c r="AP14" i="152"/>
  <c r="AP13" i="152"/>
  <c r="AP12" i="152"/>
  <c r="AP11" i="152"/>
  <c r="AP15" i="151"/>
  <c r="AP14" i="151"/>
  <c r="AP13" i="151"/>
  <c r="AP12" i="151"/>
  <c r="AP11" i="151"/>
  <c r="AK8" i="145"/>
  <c r="AL8" i="145"/>
  <c r="AO23" i="145"/>
  <c r="AQ23" i="145" s="1"/>
  <c r="AK23" i="145"/>
  <c r="AK25" i="145"/>
  <c r="AQ22" i="145"/>
  <c r="AQ21" i="145"/>
  <c r="AQ20" i="145"/>
  <c r="AQ19" i="145"/>
  <c r="AQ18" i="145"/>
  <c r="AQ17" i="145"/>
  <c r="AQ16" i="145"/>
  <c r="AQ15" i="145"/>
  <c r="AQ14" i="145"/>
  <c r="AQ13" i="145"/>
  <c r="AQ12" i="145"/>
  <c r="AQ11" i="145"/>
  <c r="AP22" i="145"/>
  <c r="AP21" i="145"/>
  <c r="AP20" i="145"/>
  <c r="AP19" i="145"/>
  <c r="AP18" i="145"/>
  <c r="AP17" i="145"/>
  <c r="AP16" i="145"/>
  <c r="AP15" i="145"/>
  <c r="AP14" i="145"/>
  <c r="AP13" i="145"/>
  <c r="AP12" i="145"/>
  <c r="AP11" i="145"/>
  <c r="AG8" i="145"/>
  <c r="AG23" i="145"/>
  <c r="AM6" i="145"/>
  <c r="AF8" i="145"/>
  <c r="AF25" i="145" s="1"/>
  <c r="V11" i="68" s="1"/>
  <c r="AF23" i="145"/>
  <c r="AL23" i="145"/>
  <c r="AP26" i="143"/>
  <c r="AP25" i="143"/>
  <c r="AP24" i="143"/>
  <c r="AP23" i="143"/>
  <c r="AP22" i="143"/>
  <c r="AP21" i="143"/>
  <c r="AP20" i="143"/>
  <c r="AP19" i="143"/>
  <c r="AP18" i="143"/>
  <c r="AP17" i="143"/>
  <c r="AP16" i="143"/>
  <c r="AP15" i="143"/>
  <c r="AP14" i="143"/>
  <c r="AP6" i="143"/>
  <c r="B26" i="143"/>
  <c r="B25" i="143"/>
  <c r="B24" i="143"/>
  <c r="B23" i="143"/>
  <c r="B22" i="143"/>
  <c r="B21" i="143"/>
  <c r="B20" i="143"/>
  <c r="B19" i="143"/>
  <c r="B18" i="143"/>
  <c r="B17" i="143"/>
  <c r="B16" i="143"/>
  <c r="B15" i="143"/>
  <c r="AO28" i="143"/>
  <c r="AK28" i="143"/>
  <c r="AK30" i="143" s="1"/>
  <c r="AB9" i="68" s="1"/>
  <c r="AQ27" i="143"/>
  <c r="AQ26" i="143"/>
  <c r="AQ25" i="143"/>
  <c r="AQ24" i="143"/>
  <c r="AQ23" i="143"/>
  <c r="AQ22" i="143"/>
  <c r="AQ21" i="143"/>
  <c r="AQ20" i="143"/>
  <c r="AQ19" i="143"/>
  <c r="AQ17" i="143"/>
  <c r="AQ16" i="143"/>
  <c r="AQ15" i="143"/>
  <c r="AQ14" i="143"/>
  <c r="AQ13" i="143"/>
  <c r="AQ6" i="143"/>
  <c r="AL28" i="143"/>
  <c r="AL30" i="143" s="1"/>
  <c r="AG28" i="143"/>
  <c r="AG30" i="143" s="1"/>
  <c r="W9" i="68" s="1"/>
  <c r="AM27" i="143"/>
  <c r="AM26" i="143"/>
  <c r="AM25" i="143"/>
  <c r="AM24" i="143"/>
  <c r="AM23" i="143"/>
  <c r="AM22" i="143"/>
  <c r="AM21" i="143"/>
  <c r="AM20" i="143"/>
  <c r="AM19" i="143"/>
  <c r="AM18" i="143"/>
  <c r="AM17" i="143"/>
  <c r="AM16" i="143"/>
  <c r="AM15" i="143"/>
  <c r="AM14" i="143"/>
  <c r="AM13" i="143"/>
  <c r="AM10" i="143"/>
  <c r="AM8" i="143"/>
  <c r="AM6" i="143"/>
  <c r="AM9" i="143"/>
  <c r="AM7" i="143"/>
  <c r="AO19" i="141"/>
  <c r="AK8" i="141"/>
  <c r="AK19" i="141"/>
  <c r="AQ18" i="141"/>
  <c r="AQ17" i="141"/>
  <c r="AQ16" i="141"/>
  <c r="AQ15" i="141"/>
  <c r="AQ14" i="141"/>
  <c r="AQ13" i="141"/>
  <c r="AQ12" i="141"/>
  <c r="AQ11" i="141"/>
  <c r="AP18" i="141"/>
  <c r="AP17" i="141"/>
  <c r="AP16" i="141"/>
  <c r="AP15" i="141"/>
  <c r="AP14" i="141"/>
  <c r="AP13" i="141"/>
  <c r="AP12" i="141"/>
  <c r="AP11" i="141"/>
  <c r="AP29" i="139"/>
  <c r="AP28" i="139"/>
  <c r="AP27" i="139"/>
  <c r="AP26" i="139"/>
  <c r="AP25" i="139"/>
  <c r="AP24" i="139"/>
  <c r="AP23" i="139"/>
  <c r="AP22" i="139"/>
  <c r="AP21" i="139"/>
  <c r="AP20" i="139"/>
  <c r="AP19" i="139"/>
  <c r="AP18" i="139"/>
  <c r="AP13" i="139"/>
  <c r="AP12" i="139"/>
  <c r="AQ28" i="139"/>
  <c r="AQ26" i="139"/>
  <c r="AQ25" i="139"/>
  <c r="AQ24" i="139"/>
  <c r="AQ22" i="139"/>
  <c r="AQ21" i="139"/>
  <c r="AQ20" i="139"/>
  <c r="AQ19" i="139"/>
  <c r="AQ18" i="139"/>
  <c r="AP23" i="150"/>
  <c r="AP22" i="150"/>
  <c r="AP21" i="150"/>
  <c r="AP20" i="150"/>
  <c r="AP19" i="150"/>
  <c r="AP18" i="150"/>
  <c r="AP17" i="150"/>
  <c r="AP16" i="150"/>
  <c r="AP15" i="150"/>
  <c r="AP14" i="150"/>
  <c r="AP13" i="150"/>
  <c r="AP12" i="150"/>
  <c r="AP11" i="150"/>
  <c r="AP15" i="147"/>
  <c r="AP14" i="147"/>
  <c r="AP13" i="147"/>
  <c r="AP12" i="147"/>
  <c r="AP11" i="147"/>
  <c r="G103" i="83"/>
  <c r="I103" i="83" s="1"/>
  <c r="J103" i="83" s="1"/>
  <c r="AP22" i="172"/>
  <c r="AP21" i="172"/>
  <c r="AP20" i="172"/>
  <c r="AP19" i="172"/>
  <c r="AP18" i="172"/>
  <c r="AP17" i="172"/>
  <c r="AP16" i="172"/>
  <c r="AP15" i="172"/>
  <c r="AP14" i="172"/>
  <c r="AP13" i="172"/>
  <c r="J102" i="83"/>
  <c r="AO6" i="172" s="1"/>
  <c r="AQ6" i="172" s="1"/>
  <c r="AO9" i="172"/>
  <c r="AP9" i="172" s="1"/>
  <c r="AK10" i="172"/>
  <c r="AQ22" i="172"/>
  <c r="AQ21" i="172"/>
  <c r="AQ20" i="172"/>
  <c r="AQ19" i="172"/>
  <c r="AQ18" i="172"/>
  <c r="AQ17" i="172"/>
  <c r="AQ16" i="172"/>
  <c r="AQ15" i="172"/>
  <c r="AQ14" i="172"/>
  <c r="AQ13" i="172"/>
  <c r="AQ9" i="172"/>
  <c r="AM7" i="172"/>
  <c r="AG10" i="172"/>
  <c r="AM10" i="172" s="1"/>
  <c r="AM22" i="172"/>
  <c r="AM21" i="172"/>
  <c r="AM20" i="172"/>
  <c r="AM19" i="172"/>
  <c r="AM18" i="172"/>
  <c r="AM17" i="172"/>
  <c r="AM16" i="172"/>
  <c r="AM15" i="172"/>
  <c r="AM14" i="172"/>
  <c r="AM13" i="172"/>
  <c r="AM9" i="172"/>
  <c r="AM6" i="172"/>
  <c r="AI7" i="172"/>
  <c r="AL10" i="172"/>
  <c r="AL8" i="147"/>
  <c r="AO16" i="147"/>
  <c r="AQ16" i="147" s="1"/>
  <c r="AK8" i="147"/>
  <c r="AK16" i="147"/>
  <c r="AQ15" i="147"/>
  <c r="AQ14" i="147"/>
  <c r="AQ13" i="147"/>
  <c r="AQ12" i="147"/>
  <c r="AQ11" i="147"/>
  <c r="AL16" i="147"/>
  <c r="AG8" i="147"/>
  <c r="AG16" i="147"/>
  <c r="AG18" i="147" s="1"/>
  <c r="AM15" i="147"/>
  <c r="AM14" i="147"/>
  <c r="AM13" i="147"/>
  <c r="AM12" i="147"/>
  <c r="AM11" i="147"/>
  <c r="AM8" i="147"/>
  <c r="AM6" i="147"/>
  <c r="AM6" i="148"/>
  <c r="AK8" i="150"/>
  <c r="AK24" i="150"/>
  <c r="AQ23" i="150"/>
  <c r="AQ22" i="150"/>
  <c r="AQ21" i="150"/>
  <c r="AQ20" i="150"/>
  <c r="AQ19" i="150"/>
  <c r="AQ18" i="150"/>
  <c r="AQ17" i="150"/>
  <c r="AQ14" i="150"/>
  <c r="AQ13" i="150"/>
  <c r="AQ12" i="150"/>
  <c r="AQ11" i="150"/>
  <c r="AL8" i="150"/>
  <c r="AL26" i="150" s="1"/>
  <c r="AL24" i="150"/>
  <c r="AM23" i="150"/>
  <c r="AM22" i="150"/>
  <c r="AM21" i="150"/>
  <c r="AM20" i="150"/>
  <c r="AM19" i="150"/>
  <c r="AM18" i="150"/>
  <c r="AM17" i="150"/>
  <c r="AM14" i="150"/>
  <c r="AM13" i="150"/>
  <c r="AM12" i="150"/>
  <c r="AM11" i="150"/>
  <c r="AM6" i="150"/>
  <c r="AI26" i="148"/>
  <c r="AM26" i="148"/>
  <c r="AP26" i="148"/>
  <c r="AP25" i="148"/>
  <c r="AP24" i="148"/>
  <c r="AP23" i="148"/>
  <c r="AP22" i="148"/>
  <c r="AP21" i="148"/>
  <c r="AP20" i="148"/>
  <c r="AP19" i="148"/>
  <c r="AP18" i="148"/>
  <c r="AP17" i="148"/>
  <c r="AP16" i="148"/>
  <c r="AP15" i="148"/>
  <c r="AP14" i="148"/>
  <c r="AP13" i="148"/>
  <c r="AP12" i="148"/>
  <c r="AP11" i="148"/>
  <c r="AK8" i="148"/>
  <c r="AK27" i="148"/>
  <c r="AK29" i="148" s="1"/>
  <c r="AQ25" i="148"/>
  <c r="AQ24" i="148"/>
  <c r="AQ23" i="148"/>
  <c r="AQ22" i="148"/>
  <c r="AQ21" i="148"/>
  <c r="AQ20" i="148"/>
  <c r="AQ19" i="148"/>
  <c r="AQ18" i="148"/>
  <c r="AQ17" i="148"/>
  <c r="AQ16" i="148"/>
  <c r="AQ15" i="148"/>
  <c r="AQ14" i="148"/>
  <c r="AQ13" i="148"/>
  <c r="AQ12" i="148"/>
  <c r="AQ11" i="148"/>
  <c r="AG27" i="148"/>
  <c r="AL8" i="148"/>
  <c r="AL27" i="148"/>
  <c r="AM25" i="148"/>
  <c r="AM24" i="148"/>
  <c r="AM23" i="148"/>
  <c r="AM22" i="148"/>
  <c r="AM21" i="148"/>
  <c r="AM20" i="148"/>
  <c r="AM19" i="148"/>
  <c r="AM18" i="148"/>
  <c r="AM17" i="148"/>
  <c r="AM16" i="148"/>
  <c r="AM15" i="148"/>
  <c r="AM14" i="148"/>
  <c r="AM13" i="148"/>
  <c r="AM12" i="148"/>
  <c r="AM11" i="148"/>
  <c r="AC27" i="148"/>
  <c r="AO19" i="181"/>
  <c r="AO18" i="181"/>
  <c r="AO17" i="181"/>
  <c r="AO16" i="181"/>
  <c r="AO15" i="181"/>
  <c r="AO14" i="181"/>
  <c r="AO13" i="181"/>
  <c r="AO12" i="181"/>
  <c r="AO11" i="181"/>
  <c r="AO10" i="181"/>
  <c r="AP20" i="180"/>
  <c r="AQ20" i="180" s="1"/>
  <c r="AP18" i="180"/>
  <c r="AQ18" i="180" s="1"/>
  <c r="AP19" i="180"/>
  <c r="AP17" i="180"/>
  <c r="AQ17" i="180" s="1"/>
  <c r="AP16" i="180"/>
  <c r="AQ16" i="180" s="1"/>
  <c r="AP15" i="180"/>
  <c r="AQ15" i="180" s="1"/>
  <c r="AP14" i="180"/>
  <c r="AQ14" i="180" s="1"/>
  <c r="AP13" i="180"/>
  <c r="AQ13" i="180" s="1"/>
  <c r="AP12" i="180"/>
  <c r="AQ12" i="180" s="1"/>
  <c r="AP11" i="180"/>
  <c r="AP10" i="180"/>
  <c r="AQ10" i="180" s="1"/>
  <c r="AN20" i="181"/>
  <c r="AL32" i="181"/>
  <c r="AL38" i="181"/>
  <c r="AK32" i="181"/>
  <c r="AK7" i="181"/>
  <c r="AK20" i="181"/>
  <c r="AL7" i="181"/>
  <c r="AL20" i="181"/>
  <c r="AO21" i="180"/>
  <c r="AK7" i="180"/>
  <c r="AK23" i="180" s="1"/>
  <c r="AL7" i="180"/>
  <c r="AL21" i="180"/>
  <c r="AF21" i="180"/>
  <c r="AQ10" i="168"/>
  <c r="AK7" i="168"/>
  <c r="AK12" i="168"/>
  <c r="AK14" i="168"/>
  <c r="AL7" i="168"/>
  <c r="AL12" i="168"/>
  <c r="AM10" i="168"/>
  <c r="AP16" i="149"/>
  <c r="AK8" i="178"/>
  <c r="AK13" i="178"/>
  <c r="AK15" i="178" s="1"/>
  <c r="AB49" i="68" s="1"/>
  <c r="AO13" i="178"/>
  <c r="AQ12" i="178"/>
  <c r="AQ11" i="178"/>
  <c r="AL8" i="178"/>
  <c r="AL13" i="178"/>
  <c r="AG8" i="178"/>
  <c r="AG13" i="178"/>
  <c r="AM13" i="178"/>
  <c r="AM12" i="178"/>
  <c r="AM11" i="178"/>
  <c r="AM7" i="178"/>
  <c r="AM6" i="178"/>
  <c r="K39" i="83"/>
  <c r="G4" i="83"/>
  <c r="AO18" i="152"/>
  <c r="AK8" i="152"/>
  <c r="AK18" i="152"/>
  <c r="AQ18" i="152" s="1"/>
  <c r="AQ17" i="152"/>
  <c r="AQ16" i="152"/>
  <c r="AQ15" i="152"/>
  <c r="AQ14" i="152"/>
  <c r="AQ13" i="152"/>
  <c r="AQ12" i="152"/>
  <c r="AQ11" i="152"/>
  <c r="AL8" i="152"/>
  <c r="AL18" i="152"/>
  <c r="AG18" i="152"/>
  <c r="AM17" i="152"/>
  <c r="AM16" i="152"/>
  <c r="AM15" i="152"/>
  <c r="AM14" i="152"/>
  <c r="AM13" i="152"/>
  <c r="AM12" i="152"/>
  <c r="AM11" i="152"/>
  <c r="AM7" i="152"/>
  <c r="AM6" i="152"/>
  <c r="AO7" i="139"/>
  <c r="AP7" i="139" s="1"/>
  <c r="K3" i="83"/>
  <c r="AP7" i="160"/>
  <c r="AK8" i="151"/>
  <c r="AK18" i="151" s="1"/>
  <c r="AK16" i="151"/>
  <c r="AQ12" i="151"/>
  <c r="AQ11" i="151"/>
  <c r="AL8" i="151"/>
  <c r="AL16" i="151"/>
  <c r="AG16" i="151"/>
  <c r="AM15" i="151"/>
  <c r="AM14" i="151"/>
  <c r="AM12" i="151"/>
  <c r="AM11" i="151"/>
  <c r="AM7" i="151"/>
  <c r="AM6" i="151"/>
  <c r="AO7" i="149"/>
  <c r="AO12" i="149"/>
  <c r="AO13" i="149"/>
  <c r="AO14" i="149"/>
  <c r="AO15" i="149"/>
  <c r="AO16" i="149"/>
  <c r="AN18" i="149"/>
  <c r="AP18" i="149" s="1"/>
  <c r="AJ9" i="149"/>
  <c r="AL9" i="149" s="1"/>
  <c r="AJ18" i="149"/>
  <c r="AP15" i="149"/>
  <c r="AP14" i="149"/>
  <c r="AP13" i="149"/>
  <c r="AP12" i="149"/>
  <c r="AP7" i="149"/>
  <c r="AF9" i="149"/>
  <c r="AF18" i="149"/>
  <c r="AL16" i="149"/>
  <c r="AL15" i="149"/>
  <c r="AL14" i="149"/>
  <c r="AL13" i="149"/>
  <c r="AL12" i="149"/>
  <c r="AL8" i="149"/>
  <c r="AL7" i="149"/>
  <c r="AL6" i="149"/>
  <c r="AK9" i="149"/>
  <c r="AK18" i="149"/>
  <c r="AH16" i="149"/>
  <c r="AH15" i="149"/>
  <c r="AH14" i="149"/>
  <c r="AH13" i="149"/>
  <c r="AH12" i="149"/>
  <c r="AH8" i="149"/>
  <c r="AH7" i="149"/>
  <c r="AH6" i="149"/>
  <c r="AB9" i="149"/>
  <c r="AB18" i="149"/>
  <c r="AG9" i="149"/>
  <c r="D9" i="149"/>
  <c r="D18" i="149"/>
  <c r="P103" i="83"/>
  <c r="N103" i="83" s="1"/>
  <c r="P82" i="83"/>
  <c r="N82" i="83" s="1"/>
  <c r="G3" i="83"/>
  <c r="B5" i="84"/>
  <c r="K20" i="84" s="1"/>
  <c r="L34" i="84"/>
  <c r="AD49" i="159"/>
  <c r="AD48" i="159"/>
  <c r="AD47" i="159"/>
  <c r="AD46" i="159"/>
  <c r="AD45" i="159"/>
  <c r="AD44" i="159"/>
  <c r="AD43" i="159"/>
  <c r="AD42" i="159"/>
  <c r="AD41" i="159"/>
  <c r="AD40" i="159"/>
  <c r="AD39" i="159"/>
  <c r="AD38" i="159"/>
  <c r="AD37" i="159"/>
  <c r="AD36" i="159"/>
  <c r="AD35" i="159"/>
  <c r="AD34" i="159"/>
  <c r="AD33" i="159"/>
  <c r="AD32" i="159"/>
  <c r="AD31" i="159"/>
  <c r="AD30" i="159"/>
  <c r="AD29" i="159"/>
  <c r="AD28" i="159"/>
  <c r="AD27" i="159"/>
  <c r="AD26" i="159"/>
  <c r="AD25" i="159"/>
  <c r="AD24" i="159"/>
  <c r="AD19" i="159"/>
  <c r="AD18" i="159"/>
  <c r="AD16" i="159"/>
  <c r="AD15" i="159"/>
  <c r="AD14" i="159"/>
  <c r="AD12" i="159"/>
  <c r="AD11" i="159"/>
  <c r="AD10" i="159"/>
  <c r="AD20" i="159"/>
  <c r="AD9" i="159"/>
  <c r="AD8" i="159"/>
  <c r="AD7" i="159"/>
  <c r="AD13" i="159"/>
  <c r="AD6" i="159"/>
  <c r="Z49" i="159"/>
  <c r="Z48" i="159"/>
  <c r="Z47" i="159"/>
  <c r="Z46" i="159"/>
  <c r="Z45" i="159"/>
  <c r="Z44" i="159"/>
  <c r="Z43" i="159"/>
  <c r="Z42" i="159"/>
  <c r="Z41" i="159"/>
  <c r="Z40" i="159"/>
  <c r="Z39" i="159"/>
  <c r="Z38" i="159"/>
  <c r="Z37" i="159"/>
  <c r="Z36" i="159"/>
  <c r="Z35" i="159"/>
  <c r="Z34" i="159"/>
  <c r="Z33" i="159"/>
  <c r="Z32" i="159"/>
  <c r="Z31" i="159"/>
  <c r="Z30" i="159"/>
  <c r="Z29" i="159"/>
  <c r="Z28" i="159"/>
  <c r="Z27" i="159"/>
  <c r="Z26" i="159"/>
  <c r="Z25" i="159"/>
  <c r="Z24" i="159"/>
  <c r="Z19" i="159"/>
  <c r="Z18" i="159"/>
  <c r="Z16" i="159"/>
  <c r="Z15" i="159"/>
  <c r="Z14" i="159"/>
  <c r="Z12" i="159"/>
  <c r="Z11" i="159"/>
  <c r="Z10" i="159"/>
  <c r="Z20" i="159"/>
  <c r="Z9" i="159"/>
  <c r="Z8" i="159"/>
  <c r="Z7" i="159"/>
  <c r="Z13" i="159"/>
  <c r="Z6" i="159"/>
  <c r="AH21" i="159"/>
  <c r="AP27" i="155"/>
  <c r="AP26" i="155"/>
  <c r="AQ26" i="155" s="1"/>
  <c r="AP25" i="155"/>
  <c r="AQ25" i="155" s="1"/>
  <c r="AP24" i="155"/>
  <c r="AQ24" i="155" s="1"/>
  <c r="AP22" i="155"/>
  <c r="AP21" i="155"/>
  <c r="AQ21" i="155" s="1"/>
  <c r="AP20" i="155"/>
  <c r="AP19" i="155"/>
  <c r="AQ19" i="155" s="1"/>
  <c r="AP18" i="155"/>
  <c r="AQ18" i="155" s="1"/>
  <c r="AP17" i="155"/>
  <c r="AQ17" i="155" s="1"/>
  <c r="AP16" i="155"/>
  <c r="AQ16" i="155" s="1"/>
  <c r="AP15" i="155"/>
  <c r="AP14" i="155"/>
  <c r="AQ14" i="155" s="1"/>
  <c r="AP13" i="155"/>
  <c r="AP12" i="155"/>
  <c r="AQ12" i="155" s="1"/>
  <c r="AP11" i="155"/>
  <c r="AQ11" i="155" s="1"/>
  <c r="AP10" i="155"/>
  <c r="AQ22" i="155"/>
  <c r="AK28" i="155"/>
  <c r="AL28" i="155"/>
  <c r="AL30" i="155" s="1"/>
  <c r="AL7" i="155"/>
  <c r="AK7" i="155"/>
  <c r="AK30" i="155" s="1"/>
  <c r="AH28" i="155"/>
  <c r="AG28" i="155"/>
  <c r="AI10" i="155"/>
  <c r="AD26" i="155"/>
  <c r="AD25" i="155"/>
  <c r="AD24" i="155"/>
  <c r="AD22" i="155"/>
  <c r="AD21" i="155"/>
  <c r="AD19" i="155"/>
  <c r="AD18" i="155"/>
  <c r="AD17" i="155"/>
  <c r="AD16" i="155"/>
  <c r="AD14" i="155"/>
  <c r="AD12" i="155"/>
  <c r="AD11" i="155"/>
  <c r="AD10" i="155"/>
  <c r="Z26" i="155"/>
  <c r="Z25" i="155"/>
  <c r="Z24" i="155"/>
  <c r="Z22" i="155"/>
  <c r="Z21" i="155"/>
  <c r="Z19" i="155"/>
  <c r="Z18" i="155"/>
  <c r="Z17" i="155"/>
  <c r="Z16" i="155"/>
  <c r="Z15" i="155"/>
  <c r="Z14" i="155"/>
  <c r="Z13" i="155"/>
  <c r="Z12" i="155"/>
  <c r="Z11" i="155"/>
  <c r="Z10" i="155"/>
  <c r="V26" i="155"/>
  <c r="V25" i="155"/>
  <c r="V24" i="155"/>
  <c r="V22" i="155"/>
  <c r="V21" i="155"/>
  <c r="V19" i="155"/>
  <c r="V18" i="155"/>
  <c r="V17" i="155"/>
  <c r="V16" i="155"/>
  <c r="V15" i="155"/>
  <c r="V14" i="155"/>
  <c r="V13" i="155"/>
  <c r="V12" i="155"/>
  <c r="V11" i="155"/>
  <c r="V10" i="155"/>
  <c r="R26" i="155"/>
  <c r="R25" i="155"/>
  <c r="R24" i="155"/>
  <c r="R22" i="155"/>
  <c r="R21" i="155"/>
  <c r="R19" i="155"/>
  <c r="R18" i="155"/>
  <c r="R17" i="155"/>
  <c r="R16" i="155"/>
  <c r="R15" i="155"/>
  <c r="R14" i="155"/>
  <c r="R13" i="155"/>
  <c r="R12" i="155"/>
  <c r="R11" i="155"/>
  <c r="R10" i="155"/>
  <c r="N26" i="155"/>
  <c r="N25" i="155"/>
  <c r="N24" i="155"/>
  <c r="N22" i="155"/>
  <c r="N21" i="155"/>
  <c r="N19" i="155"/>
  <c r="N18" i="155"/>
  <c r="N17" i="155"/>
  <c r="N16" i="155"/>
  <c r="N15" i="155"/>
  <c r="N14" i="155"/>
  <c r="N13" i="155"/>
  <c r="N12" i="155"/>
  <c r="N11" i="155"/>
  <c r="N10" i="155"/>
  <c r="J11" i="155"/>
  <c r="J26" i="155"/>
  <c r="J25" i="155"/>
  <c r="J24" i="155"/>
  <c r="J22" i="155"/>
  <c r="J21" i="155"/>
  <c r="J19" i="155"/>
  <c r="J18" i="155"/>
  <c r="J17" i="155"/>
  <c r="J16" i="155"/>
  <c r="J15" i="155"/>
  <c r="J14" i="155"/>
  <c r="J13" i="155"/>
  <c r="J12" i="155"/>
  <c r="J10" i="155"/>
  <c r="AM40" i="154"/>
  <c r="AM39" i="154"/>
  <c r="AM38" i="154"/>
  <c r="AM36" i="154"/>
  <c r="AM35" i="154"/>
  <c r="AM34" i="154"/>
  <c r="AM32" i="154"/>
  <c r="AM31" i="154"/>
  <c r="AM30" i="154"/>
  <c r="AM29" i="154"/>
  <c r="AM28" i="154"/>
  <c r="AM27" i="154"/>
  <c r="AM26" i="154"/>
  <c r="AM24" i="154"/>
  <c r="AM23" i="154"/>
  <c r="AM21" i="154"/>
  <c r="AM20" i="154"/>
  <c r="AM19" i="154"/>
  <c r="AM18" i="154"/>
  <c r="AM16" i="154"/>
  <c r="AM15" i="154"/>
  <c r="AM14" i="154"/>
  <c r="AM13" i="154"/>
  <c r="AM12" i="154"/>
  <c r="AM11" i="154"/>
  <c r="AM6" i="154"/>
  <c r="AM8" i="154"/>
  <c r="AH41" i="154"/>
  <c r="AP40" i="154"/>
  <c r="AQ40" i="154" s="1"/>
  <c r="AP39" i="154"/>
  <c r="AQ39" i="154" s="1"/>
  <c r="AP38" i="154"/>
  <c r="AQ38" i="154" s="1"/>
  <c r="AP37" i="154"/>
  <c r="AP36" i="154"/>
  <c r="AQ36" i="154" s="1"/>
  <c r="AP35" i="154"/>
  <c r="AQ35" i="154" s="1"/>
  <c r="AP34" i="154"/>
  <c r="AQ34" i="154" s="1"/>
  <c r="AP32" i="154"/>
  <c r="AQ32" i="154" s="1"/>
  <c r="AP31" i="154"/>
  <c r="AQ31" i="154" s="1"/>
  <c r="AP30" i="154"/>
  <c r="AQ30" i="154" s="1"/>
  <c r="AP29" i="154"/>
  <c r="AQ29" i="154" s="1"/>
  <c r="AP28" i="154"/>
  <c r="AQ28" i="154" s="1"/>
  <c r="AP27" i="154"/>
  <c r="AQ27" i="154" s="1"/>
  <c r="AP26" i="154"/>
  <c r="AQ26" i="154" s="1"/>
  <c r="AP25" i="154"/>
  <c r="AP24" i="154"/>
  <c r="AQ24" i="154" s="1"/>
  <c r="AP23" i="154"/>
  <c r="AQ23" i="154" s="1"/>
  <c r="AP21" i="154"/>
  <c r="AQ21" i="154" s="1"/>
  <c r="AP20" i="154"/>
  <c r="AQ20" i="154" s="1"/>
  <c r="AP19" i="154"/>
  <c r="AQ19" i="154" s="1"/>
  <c r="AP18" i="154"/>
  <c r="AQ18" i="154" s="1"/>
  <c r="AP17" i="154"/>
  <c r="AQ17" i="154" s="1"/>
  <c r="AP16" i="154"/>
  <c r="AQ16" i="154" s="1"/>
  <c r="AP15" i="154"/>
  <c r="AQ15" i="154" s="1"/>
  <c r="AP14" i="154"/>
  <c r="AQ14" i="154" s="1"/>
  <c r="AP13" i="154"/>
  <c r="AQ13" i="154" s="1"/>
  <c r="AP12" i="154"/>
  <c r="AQ12" i="154" s="1"/>
  <c r="AP11" i="154"/>
  <c r="AL41" i="154"/>
  <c r="AL43" i="154" s="1"/>
  <c r="AK41" i="154"/>
  <c r="AM41" i="154" s="1"/>
  <c r="AK9" i="154"/>
  <c r="AL42" i="175"/>
  <c r="AL44" i="175" s="1"/>
  <c r="AK12" i="175"/>
  <c r="AK44" i="175" s="1"/>
  <c r="AQ10" i="142"/>
  <c r="AL11" i="142"/>
  <c r="AK11" i="142"/>
  <c r="AK13" i="142" s="1"/>
  <c r="AL7" i="142"/>
  <c r="AM6" i="141"/>
  <c r="AL19" i="141"/>
  <c r="AM18" i="141"/>
  <c r="AM17" i="141"/>
  <c r="AM16" i="141"/>
  <c r="AM15" i="141"/>
  <c r="AM14" i="141"/>
  <c r="AM13" i="141"/>
  <c r="AM12" i="141"/>
  <c r="AM11" i="141"/>
  <c r="AL8" i="141"/>
  <c r="AM7" i="141"/>
  <c r="AM12" i="140"/>
  <c r="AM11" i="140"/>
  <c r="AH13" i="140"/>
  <c r="AH15" i="140" s="1"/>
  <c r="X6" i="68" s="1"/>
  <c r="AL13" i="140"/>
  <c r="AL15" i="140" s="1"/>
  <c r="AL17" i="140" s="1"/>
  <c r="AK13" i="140"/>
  <c r="AK15" i="140"/>
  <c r="AM28" i="139"/>
  <c r="AM26" i="139"/>
  <c r="AM25" i="139"/>
  <c r="AM24" i="139"/>
  <c r="AM22" i="139"/>
  <c r="AM21" i="139"/>
  <c r="AM20" i="139"/>
  <c r="AM19" i="139"/>
  <c r="AM18" i="139"/>
  <c r="AM14" i="139"/>
  <c r="AM11" i="139"/>
  <c r="AM6" i="139"/>
  <c r="AM10" i="139"/>
  <c r="AM8" i="139"/>
  <c r="AM7" i="139"/>
  <c r="AK30" i="139"/>
  <c r="AK32" i="139" s="1"/>
  <c r="AB5" i="68" s="1"/>
  <c r="AC73" i="161"/>
  <c r="AC25" i="161"/>
  <c r="AB73" i="161"/>
  <c r="AB25" i="161"/>
  <c r="AF73" i="161"/>
  <c r="AG73" i="161"/>
  <c r="AH73" i="161"/>
  <c r="B11" i="161"/>
  <c r="B33" i="161"/>
  <c r="AH25" i="161"/>
  <c r="B31" i="161"/>
  <c r="B28" i="161"/>
  <c r="H54" i="76"/>
  <c r="F54" i="76"/>
  <c r="J54" i="76" s="1"/>
  <c r="D40" i="134"/>
  <c r="J40" i="134"/>
  <c r="G40" i="134"/>
  <c r="AO22" i="171"/>
  <c r="AQ22" i="171" s="1"/>
  <c r="G130" i="83"/>
  <c r="I130" i="83" s="1"/>
  <c r="J130" i="83" s="1"/>
  <c r="AO12" i="161" s="1"/>
  <c r="AQ12" i="161" s="1"/>
  <c r="AF13" i="187"/>
  <c r="AL13" i="187" s="1"/>
  <c r="AG13" i="187"/>
  <c r="U31" i="187"/>
  <c r="T31" i="187"/>
  <c r="Q31" i="187"/>
  <c r="P31" i="187"/>
  <c r="M31" i="187"/>
  <c r="N31" i="187" s="1"/>
  <c r="L31" i="187"/>
  <c r="I31" i="187"/>
  <c r="H31" i="187"/>
  <c r="E31" i="187"/>
  <c r="J31" i="187" s="1"/>
  <c r="D31" i="187"/>
  <c r="B11" i="187"/>
  <c r="B10" i="187"/>
  <c r="AG23" i="187"/>
  <c r="AN23" i="187"/>
  <c r="AN25" i="187" s="1"/>
  <c r="AG25" i="187"/>
  <c r="AF23" i="187"/>
  <c r="AB23" i="187"/>
  <c r="AB25" i="187" s="1"/>
  <c r="B22" i="187"/>
  <c r="AO15" i="187"/>
  <c r="AB13" i="187"/>
  <c r="AH13" i="187" s="1"/>
  <c r="B12" i="187"/>
  <c r="Y7" i="187"/>
  <c r="X7" i="187"/>
  <c r="U7" i="187"/>
  <c r="T7" i="187"/>
  <c r="Q7" i="187"/>
  <c r="P7" i="187"/>
  <c r="M7" i="187"/>
  <c r="L7" i="187"/>
  <c r="I7" i="187"/>
  <c r="H7" i="187"/>
  <c r="E7" i="187"/>
  <c r="D7" i="187"/>
  <c r="AH8" i="178"/>
  <c r="AH13" i="178"/>
  <c r="AH12" i="177"/>
  <c r="B21" i="176"/>
  <c r="AH42" i="175"/>
  <c r="AH12" i="175"/>
  <c r="AH15" i="174"/>
  <c r="B13" i="173"/>
  <c r="AH9" i="173"/>
  <c r="AP13" i="171"/>
  <c r="B13" i="171"/>
  <c r="AH14" i="170"/>
  <c r="AP12" i="170"/>
  <c r="B12" i="170"/>
  <c r="AH12" i="168"/>
  <c r="AF9" i="167"/>
  <c r="AG9" i="167"/>
  <c r="AH9" i="167"/>
  <c r="AH45" i="165"/>
  <c r="B34" i="165"/>
  <c r="B17" i="165"/>
  <c r="AH8" i="163"/>
  <c r="AH14" i="160"/>
  <c r="AH47" i="160" s="1"/>
  <c r="X27" i="68" s="1"/>
  <c r="AH52" i="159"/>
  <c r="AH23" i="158"/>
  <c r="AH42" i="157"/>
  <c r="AH44" i="157" s="1"/>
  <c r="B13" i="155"/>
  <c r="B37" i="154"/>
  <c r="B14" i="152"/>
  <c r="AH8" i="152"/>
  <c r="AH20" i="152" s="1"/>
  <c r="X18" i="68" s="1"/>
  <c r="AH16" i="151"/>
  <c r="B13" i="151"/>
  <c r="AH24" i="150"/>
  <c r="AH8" i="150"/>
  <c r="AH26" i="150" s="1"/>
  <c r="AH13" i="146"/>
  <c r="AH23" i="145"/>
  <c r="AH25" i="145" s="1"/>
  <c r="X11" i="68" s="1"/>
  <c r="AH8" i="145"/>
  <c r="AH20" i="144"/>
  <c r="AH22" i="144" s="1"/>
  <c r="AH8" i="144"/>
  <c r="AH28" i="143"/>
  <c r="AH30" i="143" s="1"/>
  <c r="X9" i="68" s="1"/>
  <c r="AH8" i="141"/>
  <c r="AH27" i="148"/>
  <c r="B11" i="177"/>
  <c r="B10" i="177"/>
  <c r="AF8" i="163"/>
  <c r="AF21" i="163" s="1"/>
  <c r="V30" i="68" s="1"/>
  <c r="AG8" i="163"/>
  <c r="AM8" i="163" s="1"/>
  <c r="K80" i="83"/>
  <c r="AO7" i="163" s="1"/>
  <c r="B6" i="163"/>
  <c r="P80" i="83"/>
  <c r="N80" i="83" s="1"/>
  <c r="AO49" i="159"/>
  <c r="G129" i="83"/>
  <c r="H129" i="83" s="1"/>
  <c r="P129" i="83"/>
  <c r="N129" i="83" s="1"/>
  <c r="AO24" i="172"/>
  <c r="C28" i="77"/>
  <c r="C27" i="77"/>
  <c r="AO35" i="162"/>
  <c r="C20" i="77" s="1"/>
  <c r="C11" i="77"/>
  <c r="B18" i="161"/>
  <c r="AF66" i="159"/>
  <c r="AF57" i="160"/>
  <c r="B15" i="150"/>
  <c r="B16" i="150"/>
  <c r="AG24" i="172"/>
  <c r="AG26" i="172" s="1"/>
  <c r="AO41" i="154"/>
  <c r="B30" i="160"/>
  <c r="AF12" i="162"/>
  <c r="AO27" i="148"/>
  <c r="B25" i="148"/>
  <c r="AO20" i="144"/>
  <c r="V71" i="68"/>
  <c r="V73" i="68" s="1"/>
  <c r="G112" i="83"/>
  <c r="G115" i="83"/>
  <c r="J115" i="83" s="1"/>
  <c r="P130" i="83"/>
  <c r="N130" i="83" s="1"/>
  <c r="P110" i="83"/>
  <c r="N110" i="83" s="1"/>
  <c r="B7" i="173"/>
  <c r="P97" i="83"/>
  <c r="N97" i="83" s="1"/>
  <c r="P95" i="83"/>
  <c r="N95" i="83" s="1"/>
  <c r="B6" i="145"/>
  <c r="P128" i="83"/>
  <c r="N128" i="83" s="1"/>
  <c r="P127" i="83"/>
  <c r="N127" i="83" s="1"/>
  <c r="P126" i="83"/>
  <c r="N126" i="83" s="1"/>
  <c r="P125" i="83"/>
  <c r="N125" i="83" s="1"/>
  <c r="P124" i="83"/>
  <c r="N124" i="83" s="1"/>
  <c r="P122" i="83"/>
  <c r="N122" i="83" s="1"/>
  <c r="P111" i="83"/>
  <c r="N111" i="83" s="1"/>
  <c r="P109" i="83"/>
  <c r="N109" i="83" s="1"/>
  <c r="P106" i="83"/>
  <c r="N106" i="83" s="1"/>
  <c r="P94" i="83"/>
  <c r="N94" i="83" s="1"/>
  <c r="P87" i="83"/>
  <c r="N87" i="83" s="1"/>
  <c r="P74" i="83"/>
  <c r="N74" i="83" s="1"/>
  <c r="P66" i="83"/>
  <c r="N66" i="83" s="1"/>
  <c r="P49" i="83"/>
  <c r="N49" i="83" s="1"/>
  <c r="P46" i="83"/>
  <c r="N46" i="83" s="1"/>
  <c r="P43" i="83"/>
  <c r="N43" i="83" s="1"/>
  <c r="P41" i="83"/>
  <c r="N41" i="83" s="1"/>
  <c r="P39" i="83"/>
  <c r="N39" i="83" s="1"/>
  <c r="P37" i="83"/>
  <c r="N37" i="83" s="1"/>
  <c r="P36" i="83"/>
  <c r="N36" i="83" s="1"/>
  <c r="P34" i="83"/>
  <c r="N34" i="83" s="1"/>
  <c r="P32" i="83"/>
  <c r="N32" i="83" s="1"/>
  <c r="P30" i="83"/>
  <c r="N30" i="83" s="1"/>
  <c r="P28" i="83"/>
  <c r="N28" i="83" s="1"/>
  <c r="P26" i="83"/>
  <c r="N26" i="83" s="1"/>
  <c r="P25" i="83"/>
  <c r="N25" i="83" s="1"/>
  <c r="P23" i="83"/>
  <c r="N23" i="83" s="1"/>
  <c r="P21" i="83"/>
  <c r="N21" i="83" s="1"/>
  <c r="P19" i="83"/>
  <c r="N19" i="83" s="1"/>
  <c r="P17" i="83"/>
  <c r="N17" i="83" s="1"/>
  <c r="P13" i="83"/>
  <c r="N13" i="83" s="1"/>
  <c r="P10" i="83"/>
  <c r="N10" i="83" s="1"/>
  <c r="P5" i="83"/>
  <c r="N5" i="83" s="1"/>
  <c r="P4" i="83"/>
  <c r="N4" i="83" s="1"/>
  <c r="P3" i="83"/>
  <c r="N3" i="83" s="1"/>
  <c r="AF24" i="184"/>
  <c r="AO39" i="181"/>
  <c r="AP10" i="179"/>
  <c r="AF8" i="178"/>
  <c r="AF15" i="174"/>
  <c r="B6" i="173"/>
  <c r="B8" i="173"/>
  <c r="AP23" i="172"/>
  <c r="AP20" i="171"/>
  <c r="AP19" i="171"/>
  <c r="AP18" i="171"/>
  <c r="AP17" i="171"/>
  <c r="AP16" i="171"/>
  <c r="AP15" i="171"/>
  <c r="AP14" i="171"/>
  <c r="AP12" i="171"/>
  <c r="AP11" i="171"/>
  <c r="AP10" i="171"/>
  <c r="AP13" i="170"/>
  <c r="AQ13" i="170" s="1"/>
  <c r="AP11" i="170"/>
  <c r="AQ11" i="170" s="1"/>
  <c r="AP10" i="170"/>
  <c r="AQ10" i="170"/>
  <c r="AI8" i="167"/>
  <c r="AF28" i="167"/>
  <c r="AP11" i="166"/>
  <c r="AP13" i="166" s="1"/>
  <c r="AP10" i="163"/>
  <c r="AP9" i="163"/>
  <c r="AG19" i="163"/>
  <c r="AM19" i="163" s="1"/>
  <c r="AF19" i="163"/>
  <c r="AG12" i="162"/>
  <c r="AM12" i="162" s="1"/>
  <c r="G74" i="83"/>
  <c r="I74" i="83" s="1"/>
  <c r="J74" i="83" s="1"/>
  <c r="G125" i="83"/>
  <c r="AP27" i="143"/>
  <c r="AP13" i="143"/>
  <c r="AP30" i="157"/>
  <c r="AP45" i="160"/>
  <c r="AF45" i="160"/>
  <c r="B12" i="160"/>
  <c r="AF23" i="158"/>
  <c r="B20" i="158"/>
  <c r="AF24" i="157"/>
  <c r="AF26" i="157" s="1"/>
  <c r="AF28" i="155"/>
  <c r="AG7" i="154"/>
  <c r="AF7" i="154"/>
  <c r="AF9" i="154" s="1"/>
  <c r="AF41" i="154"/>
  <c r="AG8" i="152"/>
  <c r="AF8" i="152"/>
  <c r="AG8" i="151"/>
  <c r="AI8" i="151" s="1"/>
  <c r="AF8" i="151"/>
  <c r="AG24" i="150"/>
  <c r="AM24" i="150" s="1"/>
  <c r="B17" i="149"/>
  <c r="B16" i="149"/>
  <c r="AG12" i="175"/>
  <c r="AF12" i="175"/>
  <c r="G13" i="83"/>
  <c r="I13" i="83" s="1"/>
  <c r="J13" i="83" s="1"/>
  <c r="AF10" i="143"/>
  <c r="AF28" i="143"/>
  <c r="AQ12" i="140"/>
  <c r="AF13" i="140"/>
  <c r="AF15" i="140" s="1"/>
  <c r="V6" i="68" s="1"/>
  <c r="AM9" i="139"/>
  <c r="AO14" i="139"/>
  <c r="AP14" i="139" s="1"/>
  <c r="AP11" i="139"/>
  <c r="AO6" i="139"/>
  <c r="AP31" i="139"/>
  <c r="AQ17" i="176"/>
  <c r="AQ13" i="176"/>
  <c r="AP7" i="176"/>
  <c r="AF45" i="176"/>
  <c r="AO45" i="176"/>
  <c r="AP45" i="176" s="1"/>
  <c r="AQ45" i="176" s="1"/>
  <c r="AO12" i="176"/>
  <c r="AP12" i="176" s="1"/>
  <c r="AO11" i="176"/>
  <c r="AP11" i="176" s="1"/>
  <c r="AQ11" i="176" s="1"/>
  <c r="AO9" i="176"/>
  <c r="AO8" i="176"/>
  <c r="B7" i="176"/>
  <c r="B12" i="176"/>
  <c r="AO6" i="176"/>
  <c r="AP46" i="165"/>
  <c r="AP13" i="165"/>
  <c r="AP12" i="165"/>
  <c r="AF45" i="165"/>
  <c r="AP45" i="165"/>
  <c r="AQ45" i="165" s="1"/>
  <c r="AG8" i="148"/>
  <c r="AG29" i="148" s="1"/>
  <c r="W14" i="68" s="1"/>
  <c r="AG8" i="144"/>
  <c r="AF8" i="144"/>
  <c r="AM15" i="139"/>
  <c r="AG11" i="142"/>
  <c r="AG7" i="155"/>
  <c r="AG30" i="155" s="1"/>
  <c r="W21" i="68" s="1"/>
  <c r="AG7" i="158"/>
  <c r="AG11" i="166"/>
  <c r="AM11" i="166" s="1"/>
  <c r="AG12" i="168"/>
  <c r="AM12" i="168" s="1"/>
  <c r="AG7" i="168"/>
  <c r="AG14" i="168" s="1"/>
  <c r="AG7" i="174"/>
  <c r="AG11" i="179"/>
  <c r="AM11" i="179" s="1"/>
  <c r="AG7" i="179"/>
  <c r="AG7" i="180"/>
  <c r="AG23" i="180" s="1"/>
  <c r="W52" i="68" s="1"/>
  <c r="AG32" i="181"/>
  <c r="AG7" i="181"/>
  <c r="AG7" i="182"/>
  <c r="AF14" i="183"/>
  <c r="W4" i="68"/>
  <c r="AC4" i="68" s="1"/>
  <c r="AD4" i="68" s="1"/>
  <c r="AF10" i="172"/>
  <c r="AG13" i="142"/>
  <c r="W5" i="68"/>
  <c r="AQ20" i="176"/>
  <c r="AQ38" i="176"/>
  <c r="AQ33" i="176"/>
  <c r="AQ18" i="176"/>
  <c r="AQ36" i="176"/>
  <c r="AQ22" i="176"/>
  <c r="AQ39" i="176"/>
  <c r="AQ25" i="176"/>
  <c r="AQ42" i="176"/>
  <c r="AQ19" i="176"/>
  <c r="AQ37" i="176"/>
  <c r="AQ23" i="176"/>
  <c r="AQ40" i="176"/>
  <c r="AQ35" i="176"/>
  <c r="AQ30" i="176"/>
  <c r="AQ24" i="176"/>
  <c r="AQ41" i="176"/>
  <c r="AQ27" i="176"/>
  <c r="AQ44" i="176"/>
  <c r="AQ31" i="176"/>
  <c r="AQ34" i="176"/>
  <c r="AQ29" i="176"/>
  <c r="AQ32" i="176"/>
  <c r="AQ26" i="176"/>
  <c r="AQ43" i="176"/>
  <c r="AG15" i="174"/>
  <c r="AI15" i="174" s="1"/>
  <c r="AG26" i="173"/>
  <c r="AM26" i="173" s="1"/>
  <c r="AG45" i="160"/>
  <c r="AM45" i="160" s="1"/>
  <c r="AG20" i="181"/>
  <c r="AG21" i="180"/>
  <c r="AM21" i="180" s="1"/>
  <c r="AG12" i="177"/>
  <c r="AG45" i="176"/>
  <c r="AM45" i="176" s="1"/>
  <c r="AG28" i="167"/>
  <c r="AG41" i="154"/>
  <c r="AG13" i="146"/>
  <c r="AG15" i="146" s="1"/>
  <c r="AH17" i="146" s="1"/>
  <c r="AG14" i="170"/>
  <c r="AG42" i="169"/>
  <c r="AG16" i="153"/>
  <c r="AG19" i="141"/>
  <c r="AM19" i="141" s="1"/>
  <c r="AG13" i="140"/>
  <c r="AG21" i="163"/>
  <c r="AG14" i="177"/>
  <c r="AG16" i="170"/>
  <c r="W39" i="68" s="1"/>
  <c r="AC39" i="68" s="1"/>
  <c r="AD39" i="68" s="1"/>
  <c r="AG22" i="162"/>
  <c r="AM22" i="162" s="1"/>
  <c r="AG20" i="144"/>
  <c r="AM20" i="144" s="1"/>
  <c r="W58" i="68"/>
  <c r="AF8" i="141"/>
  <c r="AF8" i="147"/>
  <c r="AF8" i="148"/>
  <c r="AF8" i="150"/>
  <c r="AF7" i="153"/>
  <c r="AF7" i="155"/>
  <c r="AF7" i="156"/>
  <c r="AF7" i="158"/>
  <c r="AF7" i="168"/>
  <c r="AF9" i="173"/>
  <c r="AF7" i="174"/>
  <c r="AF7" i="179"/>
  <c r="AF7" i="180"/>
  <c r="AF23" i="180" s="1"/>
  <c r="AF7" i="181"/>
  <c r="AF7" i="182"/>
  <c r="AF7" i="184"/>
  <c r="AF9" i="164"/>
  <c r="E7" i="142"/>
  <c r="D7" i="142"/>
  <c r="E7" i="146"/>
  <c r="D7" i="146"/>
  <c r="E7" i="155"/>
  <c r="D7" i="155"/>
  <c r="E7" i="156"/>
  <c r="D7" i="156"/>
  <c r="E7" i="158"/>
  <c r="D7" i="158"/>
  <c r="E7" i="168"/>
  <c r="D7" i="168"/>
  <c r="E7" i="170"/>
  <c r="D7" i="170"/>
  <c r="E7" i="171"/>
  <c r="D7" i="171"/>
  <c r="E7" i="174"/>
  <c r="D7" i="174"/>
  <c r="E7" i="177"/>
  <c r="D7" i="177"/>
  <c r="E7" i="179"/>
  <c r="D7" i="179"/>
  <c r="E7" i="183"/>
  <c r="E14" i="183" s="1"/>
  <c r="D7" i="183"/>
  <c r="D14" i="183" s="1"/>
  <c r="E7" i="184"/>
  <c r="D7" i="184"/>
  <c r="E7" i="185"/>
  <c r="D7" i="185"/>
  <c r="M7" i="142"/>
  <c r="L7" i="142"/>
  <c r="I7" i="142"/>
  <c r="H7" i="142"/>
  <c r="M7" i="146"/>
  <c r="L7" i="146"/>
  <c r="I7" i="146"/>
  <c r="H7" i="146"/>
  <c r="M7" i="155"/>
  <c r="L7" i="155"/>
  <c r="I7" i="155"/>
  <c r="H7" i="155"/>
  <c r="M7" i="156"/>
  <c r="L7" i="156"/>
  <c r="I7" i="156"/>
  <c r="H7" i="156"/>
  <c r="M7" i="158"/>
  <c r="L7" i="158"/>
  <c r="I7" i="158"/>
  <c r="H7" i="158"/>
  <c r="M7" i="168"/>
  <c r="L7" i="168"/>
  <c r="I7" i="168"/>
  <c r="H7" i="168"/>
  <c r="M7" i="170"/>
  <c r="L7" i="170"/>
  <c r="I7" i="170"/>
  <c r="H7" i="170"/>
  <c r="M7" i="171"/>
  <c r="L7" i="171"/>
  <c r="I7" i="171"/>
  <c r="H7" i="171"/>
  <c r="M7" i="174"/>
  <c r="L7" i="174"/>
  <c r="I7" i="174"/>
  <c r="H7" i="174"/>
  <c r="M7" i="177"/>
  <c r="L7" i="177"/>
  <c r="I7" i="177"/>
  <c r="H7" i="177"/>
  <c r="M7" i="179"/>
  <c r="L7" i="179"/>
  <c r="I7" i="179"/>
  <c r="H7" i="179"/>
  <c r="M7" i="183"/>
  <c r="M14" i="183" s="1"/>
  <c r="L7" i="183"/>
  <c r="L14" i="183" s="1"/>
  <c r="I7" i="183"/>
  <c r="I14" i="183" s="1"/>
  <c r="H7" i="183"/>
  <c r="H14" i="183" s="1"/>
  <c r="M7" i="184"/>
  <c r="L7" i="184"/>
  <c r="I7" i="184"/>
  <c r="H7" i="184"/>
  <c r="M7" i="185"/>
  <c r="L7" i="185"/>
  <c r="I7" i="185"/>
  <c r="H7" i="185"/>
  <c r="Q7" i="142"/>
  <c r="P7" i="142"/>
  <c r="Q7" i="146"/>
  <c r="P7" i="146"/>
  <c r="Q7" i="155"/>
  <c r="P7" i="155"/>
  <c r="Q7" i="156"/>
  <c r="P7" i="156"/>
  <c r="Q7" i="158"/>
  <c r="P7" i="158"/>
  <c r="Q7" i="168"/>
  <c r="P7" i="168"/>
  <c r="Q7" i="170"/>
  <c r="P7" i="170"/>
  <c r="Q7" i="171"/>
  <c r="P7" i="171"/>
  <c r="Q7" i="174"/>
  <c r="P7" i="174"/>
  <c r="Q7" i="177"/>
  <c r="P7" i="177"/>
  <c r="Q7" i="179"/>
  <c r="P7" i="179"/>
  <c r="Q7" i="183"/>
  <c r="Q14" i="183" s="1"/>
  <c r="P7" i="183"/>
  <c r="P14" i="183" s="1"/>
  <c r="Q7" i="184"/>
  <c r="P7" i="184"/>
  <c r="Q7" i="185"/>
  <c r="P7" i="185"/>
  <c r="I16" i="84"/>
  <c r="R16" i="84" s="1"/>
  <c r="H16" i="84"/>
  <c r="G16" i="84"/>
  <c r="F16" i="84"/>
  <c r="E16" i="84"/>
  <c r="D16" i="84"/>
  <c r="C16" i="84"/>
  <c r="B16" i="84"/>
  <c r="I14" i="84"/>
  <c r="H14" i="84"/>
  <c r="G14" i="84"/>
  <c r="F14" i="84"/>
  <c r="E14" i="84"/>
  <c r="D14" i="84"/>
  <c r="C14" i="84"/>
  <c r="B14" i="84"/>
  <c r="I12" i="84"/>
  <c r="H12" i="84"/>
  <c r="G12" i="84"/>
  <c r="F12" i="84"/>
  <c r="E12" i="84"/>
  <c r="D12" i="84"/>
  <c r="C12" i="84"/>
  <c r="B12" i="84"/>
  <c r="I10" i="84"/>
  <c r="H10" i="84"/>
  <c r="G10" i="84"/>
  <c r="F10" i="84"/>
  <c r="E10" i="84"/>
  <c r="D10" i="84"/>
  <c r="C10" i="84"/>
  <c r="B10" i="84"/>
  <c r="I8" i="84"/>
  <c r="H8" i="84"/>
  <c r="G8" i="84"/>
  <c r="F8" i="84"/>
  <c r="E8" i="84"/>
  <c r="D8" i="84"/>
  <c r="C8" i="84"/>
  <c r="B8" i="84"/>
  <c r="I15" i="84"/>
  <c r="R15" i="84" s="1"/>
  <c r="H15" i="84"/>
  <c r="G15" i="84"/>
  <c r="F15" i="84"/>
  <c r="E15" i="84"/>
  <c r="D15" i="84"/>
  <c r="C15" i="84"/>
  <c r="B15" i="84"/>
  <c r="I13" i="84"/>
  <c r="AA13" i="84" s="1"/>
  <c r="H13" i="84"/>
  <c r="G13" i="84"/>
  <c r="F13" i="84"/>
  <c r="X13" i="84" s="1"/>
  <c r="E13" i="84"/>
  <c r="D13" i="84"/>
  <c r="C13" i="84"/>
  <c r="B13" i="84"/>
  <c r="T13" i="84" s="1"/>
  <c r="I11" i="84"/>
  <c r="H11" i="84"/>
  <c r="Z11" i="84" s="1"/>
  <c r="G11" i="84"/>
  <c r="F11" i="84"/>
  <c r="X11" i="84" s="1"/>
  <c r="E11" i="84"/>
  <c r="D11" i="84"/>
  <c r="V11" i="84" s="1"/>
  <c r="C11" i="84"/>
  <c r="B11" i="84"/>
  <c r="T11" i="84" s="1"/>
  <c r="I9" i="84"/>
  <c r="AA9" i="84" s="1"/>
  <c r="H9" i="84"/>
  <c r="G9" i="84"/>
  <c r="F9" i="84"/>
  <c r="X9" i="84" s="1"/>
  <c r="E9" i="84"/>
  <c r="D9" i="84"/>
  <c r="C9" i="84"/>
  <c r="B9" i="84"/>
  <c r="T9" i="84" s="1"/>
  <c r="I7" i="84"/>
  <c r="H7" i="84"/>
  <c r="G7" i="84"/>
  <c r="F7" i="84"/>
  <c r="E7" i="84"/>
  <c r="D7" i="84"/>
  <c r="C7" i="84"/>
  <c r="B7" i="84"/>
  <c r="I6" i="84"/>
  <c r="H6" i="84"/>
  <c r="G6" i="84"/>
  <c r="F6" i="84"/>
  <c r="E6" i="84"/>
  <c r="D6" i="84"/>
  <c r="C6" i="84"/>
  <c r="B6" i="84"/>
  <c r="AA16" i="84"/>
  <c r="Z16" i="84"/>
  <c r="Y16" i="84"/>
  <c r="X16" i="84"/>
  <c r="W16" i="84"/>
  <c r="V16" i="84"/>
  <c r="U16" i="84"/>
  <c r="T16" i="84"/>
  <c r="AA15" i="84"/>
  <c r="Z15" i="84"/>
  <c r="Y15" i="84"/>
  <c r="X15" i="84"/>
  <c r="W15" i="84"/>
  <c r="V15" i="84"/>
  <c r="U15" i="84"/>
  <c r="T15" i="84"/>
  <c r="AA14" i="84"/>
  <c r="Z14" i="84"/>
  <c r="Y14" i="84"/>
  <c r="X14" i="84"/>
  <c r="W14" i="84"/>
  <c r="V14" i="84"/>
  <c r="U14" i="84"/>
  <c r="Y13" i="84"/>
  <c r="U13" i="84"/>
  <c r="Y12" i="84"/>
  <c r="U12" i="84"/>
  <c r="Y11" i="84"/>
  <c r="U11" i="84"/>
  <c r="Y10" i="84"/>
  <c r="U10" i="84"/>
  <c r="Y9" i="84"/>
  <c r="U9" i="84"/>
  <c r="Y8" i="84"/>
  <c r="U8" i="84"/>
  <c r="Y7" i="84"/>
  <c r="U7" i="84"/>
  <c r="I5" i="84"/>
  <c r="H5" i="84"/>
  <c r="G5" i="84"/>
  <c r="F5" i="84"/>
  <c r="E5" i="84"/>
  <c r="D5" i="84"/>
  <c r="C5" i="84"/>
  <c r="AO45" i="165"/>
  <c r="B41" i="165"/>
  <c r="B40" i="165"/>
  <c r="B17" i="169"/>
  <c r="B29" i="169"/>
  <c r="H73" i="76"/>
  <c r="F73" i="76"/>
  <c r="J73" i="76" s="1"/>
  <c r="J58" i="76"/>
  <c r="H53" i="76"/>
  <c r="H49" i="76"/>
  <c r="F49" i="76"/>
  <c r="H52" i="76"/>
  <c r="F52" i="76"/>
  <c r="J52" i="76" s="1"/>
  <c r="AO42" i="169"/>
  <c r="B34" i="169"/>
  <c r="B7" i="157"/>
  <c r="B21" i="157"/>
  <c r="G98" i="83"/>
  <c r="AN38" i="181"/>
  <c r="B37" i="181"/>
  <c r="B36" i="181"/>
  <c r="B35" i="181"/>
  <c r="AN32" i="181"/>
  <c r="AH32" i="181"/>
  <c r="AF32" i="181"/>
  <c r="W71" i="68"/>
  <c r="H45" i="76"/>
  <c r="F45" i="76"/>
  <c r="J45" i="76" s="1"/>
  <c r="H41" i="76"/>
  <c r="F41" i="76"/>
  <c r="J41" i="76" s="1"/>
  <c r="D63" i="76"/>
  <c r="H76" i="76"/>
  <c r="F76" i="76"/>
  <c r="J76" i="76" s="1"/>
  <c r="F8" i="76"/>
  <c r="J8" i="76" s="1"/>
  <c r="G23" i="83"/>
  <c r="G21" i="83"/>
  <c r="W13" i="68"/>
  <c r="G19" i="83"/>
  <c r="G17" i="83"/>
  <c r="G15" i="83"/>
  <c r="J15" i="83" s="1"/>
  <c r="AO8" i="143" s="1"/>
  <c r="AP8" i="143" s="1"/>
  <c r="G11" i="83"/>
  <c r="G10" i="83"/>
  <c r="AG8" i="141"/>
  <c r="H3" i="83"/>
  <c r="W73" i="68"/>
  <c r="B7" i="172"/>
  <c r="AO16" i="153"/>
  <c r="AQ16" i="153" s="1"/>
  <c r="B16" i="165"/>
  <c r="AO12" i="168"/>
  <c r="Q8" i="74"/>
  <c r="Q9" i="74" s="1"/>
  <c r="Q23" i="74"/>
  <c r="Q17" i="74"/>
  <c r="Q14" i="74"/>
  <c r="B13" i="163"/>
  <c r="AO19" i="161"/>
  <c r="AQ19" i="161" s="1"/>
  <c r="B35" i="161"/>
  <c r="AO23" i="161"/>
  <c r="AQ23" i="161" s="1"/>
  <c r="AO21" i="161"/>
  <c r="AQ21" i="161" s="1"/>
  <c r="B55" i="161"/>
  <c r="G99" i="83"/>
  <c r="H99" i="83" s="1"/>
  <c r="I99" i="83" s="1"/>
  <c r="H98" i="83"/>
  <c r="I98" i="83" s="1"/>
  <c r="G97" i="83"/>
  <c r="AO8" i="169"/>
  <c r="G91" i="83"/>
  <c r="I91" i="83" s="1"/>
  <c r="E50" i="83"/>
  <c r="E44" i="83"/>
  <c r="E42" i="83"/>
  <c r="B14" i="153"/>
  <c r="B8" i="160"/>
  <c r="B6" i="160"/>
  <c r="G137" i="83"/>
  <c r="I137" i="83" s="1"/>
  <c r="B19" i="158"/>
  <c r="B17" i="155"/>
  <c r="B11" i="156"/>
  <c r="H78" i="76"/>
  <c r="F78" i="76"/>
  <c r="J78" i="76" s="1"/>
  <c r="H77" i="76"/>
  <c r="F77" i="76"/>
  <c r="J77" i="76" s="1"/>
  <c r="H75" i="76"/>
  <c r="F75" i="76"/>
  <c r="J75" i="76" s="1"/>
  <c r="H74" i="76"/>
  <c r="F74" i="76"/>
  <c r="J74" i="76" s="1"/>
  <c r="H72" i="76"/>
  <c r="F72" i="76"/>
  <c r="J72" i="76" s="1"/>
  <c r="H71" i="76"/>
  <c r="F71" i="76"/>
  <c r="J71" i="76" s="1"/>
  <c r="H70" i="76"/>
  <c r="F70" i="76"/>
  <c r="J70" i="76" s="1"/>
  <c r="H69" i="76"/>
  <c r="F69" i="76"/>
  <c r="H62" i="76"/>
  <c r="F62" i="76"/>
  <c r="J62" i="76" s="1"/>
  <c r="H61" i="76"/>
  <c r="F61" i="76"/>
  <c r="J61" i="76" s="1"/>
  <c r="H60" i="76"/>
  <c r="F60" i="76"/>
  <c r="J60" i="76" s="1"/>
  <c r="H59" i="76"/>
  <c r="F59" i="76"/>
  <c r="F53" i="76"/>
  <c r="J53" i="76" s="1"/>
  <c r="H51" i="76"/>
  <c r="F51" i="76"/>
  <c r="J51" i="76" s="1"/>
  <c r="H50" i="76"/>
  <c r="F50" i="76"/>
  <c r="J50" i="76" s="1"/>
  <c r="D46" i="76"/>
  <c r="H44" i="76"/>
  <c r="F44" i="76"/>
  <c r="J44" i="76" s="1"/>
  <c r="H42" i="76"/>
  <c r="F42" i="76"/>
  <c r="J42" i="76" s="1"/>
  <c r="H40" i="76"/>
  <c r="F40" i="76"/>
  <c r="J40" i="76" s="1"/>
  <c r="H39" i="76"/>
  <c r="F39" i="76"/>
  <c r="J39" i="76" s="1"/>
  <c r="H38" i="76"/>
  <c r="F38" i="76"/>
  <c r="J38" i="76" s="1"/>
  <c r="H36" i="76"/>
  <c r="F36" i="76"/>
  <c r="J36" i="76" s="1"/>
  <c r="H34" i="76"/>
  <c r="F34" i="76"/>
  <c r="J34" i="76" s="1"/>
  <c r="H33" i="76"/>
  <c r="F33" i="76"/>
  <c r="J33" i="76" s="1"/>
  <c r="H31" i="76"/>
  <c r="F31" i="76"/>
  <c r="J31" i="76" s="1"/>
  <c r="K31" i="76" s="1"/>
  <c r="H30" i="76"/>
  <c r="F30" i="76"/>
  <c r="J30" i="76" s="1"/>
  <c r="K30" i="76" s="1"/>
  <c r="H29" i="76"/>
  <c r="F29" i="76"/>
  <c r="J29" i="76" s="1"/>
  <c r="K29" i="76" s="1"/>
  <c r="H28" i="76"/>
  <c r="F28" i="76"/>
  <c r="J28" i="76" s="1"/>
  <c r="K28" i="76" s="1"/>
  <c r="H26" i="76"/>
  <c r="F26" i="76"/>
  <c r="J26" i="76" s="1"/>
  <c r="H25" i="76"/>
  <c r="F25" i="76"/>
  <c r="J25" i="76" s="1"/>
  <c r="H24" i="76"/>
  <c r="F24" i="76"/>
  <c r="J24" i="76" s="1"/>
  <c r="K24" i="76" s="1"/>
  <c r="H22" i="76"/>
  <c r="F22" i="76"/>
  <c r="J22" i="76" s="1"/>
  <c r="H21" i="76"/>
  <c r="F21" i="76"/>
  <c r="J21" i="76" s="1"/>
  <c r="H20" i="76"/>
  <c r="F20" i="76"/>
  <c r="J20" i="76" s="1"/>
  <c r="H19" i="76"/>
  <c r="F19" i="76"/>
  <c r="J19" i="76" s="1"/>
  <c r="K19" i="76" s="1"/>
  <c r="H17" i="76"/>
  <c r="F17" i="76"/>
  <c r="J17" i="76" s="1"/>
  <c r="K17" i="76" s="1"/>
  <c r="H16" i="76"/>
  <c r="F16" i="76"/>
  <c r="J16" i="76" s="1"/>
  <c r="K16" i="76" s="1"/>
  <c r="H15" i="76"/>
  <c r="F15" i="76"/>
  <c r="J15" i="76" s="1"/>
  <c r="K15" i="76" s="1"/>
  <c r="H14" i="76"/>
  <c r="F14" i="76"/>
  <c r="J14" i="76" s="1"/>
  <c r="K14" i="76" s="1"/>
  <c r="L14" i="76" s="1"/>
  <c r="H12" i="76"/>
  <c r="F12" i="76"/>
  <c r="J12" i="76" s="1"/>
  <c r="H11" i="76"/>
  <c r="F11" i="76"/>
  <c r="J11" i="76" s="1"/>
  <c r="H10" i="76"/>
  <c r="F10" i="76"/>
  <c r="J10" i="76" s="1"/>
  <c r="H9" i="76"/>
  <c r="F9" i="76"/>
  <c r="J9" i="76" s="1"/>
  <c r="H8" i="76"/>
  <c r="H46" i="76" s="1"/>
  <c r="K18" i="77"/>
  <c r="K17" i="77"/>
  <c r="AH61" i="68"/>
  <c r="B11" i="185"/>
  <c r="B13" i="185"/>
  <c r="B12" i="185"/>
  <c r="B10" i="185"/>
  <c r="AH7" i="185"/>
  <c r="AC7" i="185"/>
  <c r="Y7" i="185"/>
  <c r="X7" i="185"/>
  <c r="U7" i="185"/>
  <c r="T7" i="185"/>
  <c r="AP7" i="185"/>
  <c r="B10" i="184"/>
  <c r="AO7" i="184"/>
  <c r="AH7" i="184"/>
  <c r="AH26" i="184" s="1"/>
  <c r="AC7" i="184"/>
  <c r="AB7" i="184"/>
  <c r="AB26" i="184" s="1"/>
  <c r="Y7" i="184"/>
  <c r="X7" i="184"/>
  <c r="U7" i="184"/>
  <c r="T7" i="184"/>
  <c r="AG7" i="183"/>
  <c r="AC7" i="183"/>
  <c r="AB7" i="183"/>
  <c r="Y7" i="183"/>
  <c r="Y14" i="183" s="1"/>
  <c r="X7" i="183"/>
  <c r="X14" i="183" s="1"/>
  <c r="U7" i="183"/>
  <c r="U14" i="183" s="1"/>
  <c r="T7" i="183"/>
  <c r="AK13" i="182"/>
  <c r="B12" i="182"/>
  <c r="B11" i="182"/>
  <c r="B10" i="182"/>
  <c r="AK7" i="182"/>
  <c r="AH7" i="182"/>
  <c r="AO21" i="181"/>
  <c r="B19" i="181"/>
  <c r="B18" i="181"/>
  <c r="B17" i="181"/>
  <c r="B16" i="181"/>
  <c r="B15" i="181"/>
  <c r="B14" i="181"/>
  <c r="B13" i="181"/>
  <c r="B12" i="181"/>
  <c r="B11" i="181"/>
  <c r="B10" i="181"/>
  <c r="AN7" i="181"/>
  <c r="AO7" i="181" s="1"/>
  <c r="AH7" i="181"/>
  <c r="AO6" i="181"/>
  <c r="B20" i="180"/>
  <c r="B18" i="180"/>
  <c r="B19" i="180"/>
  <c r="B17" i="180"/>
  <c r="B16" i="180"/>
  <c r="B15" i="180"/>
  <c r="B14" i="180"/>
  <c r="B13" i="180"/>
  <c r="B12" i="180"/>
  <c r="B11" i="180"/>
  <c r="B10" i="180"/>
  <c r="AO7" i="180"/>
  <c r="AP7" i="180" s="1"/>
  <c r="AH7" i="180"/>
  <c r="AP6" i="180"/>
  <c r="AO11" i="179"/>
  <c r="AQ11" i="179" s="1"/>
  <c r="AP7" i="179"/>
  <c r="AO7" i="179"/>
  <c r="AH7" i="179"/>
  <c r="AC7" i="179"/>
  <c r="AB7" i="179"/>
  <c r="Y7" i="179"/>
  <c r="X7" i="179"/>
  <c r="U7" i="179"/>
  <c r="T7" i="179"/>
  <c r="AH7" i="177"/>
  <c r="AC7" i="177"/>
  <c r="AB7" i="177"/>
  <c r="Y7" i="177"/>
  <c r="X7" i="177"/>
  <c r="U7" i="177"/>
  <c r="T7" i="177"/>
  <c r="B44" i="176"/>
  <c r="B43" i="176"/>
  <c r="B42" i="176"/>
  <c r="B41" i="176"/>
  <c r="B40" i="176"/>
  <c r="B39" i="176"/>
  <c r="B38" i="176"/>
  <c r="B37" i="176"/>
  <c r="B36" i="176"/>
  <c r="B35" i="176"/>
  <c r="B34" i="176"/>
  <c r="B33" i="176"/>
  <c r="B32" i="176"/>
  <c r="B31" i="176"/>
  <c r="B30" i="176"/>
  <c r="B29" i="176"/>
  <c r="B27" i="176"/>
  <c r="B26" i="176"/>
  <c r="B25" i="176"/>
  <c r="B24" i="176"/>
  <c r="B23" i="176"/>
  <c r="B22" i="176"/>
  <c r="B20" i="176"/>
  <c r="B19" i="176"/>
  <c r="B18" i="176"/>
  <c r="B17" i="176"/>
  <c r="B13" i="176"/>
  <c r="B11" i="176"/>
  <c r="B10" i="176"/>
  <c r="B9" i="176"/>
  <c r="B8" i="176"/>
  <c r="B6" i="176"/>
  <c r="AP7" i="174"/>
  <c r="AO7" i="174"/>
  <c r="AH7" i="174"/>
  <c r="AC7" i="174"/>
  <c r="AB7" i="174"/>
  <c r="Y7" i="174"/>
  <c r="X7" i="174"/>
  <c r="U7" i="174"/>
  <c r="T7" i="174"/>
  <c r="AO26" i="173"/>
  <c r="B25" i="173"/>
  <c r="B24" i="173"/>
  <c r="B23" i="173"/>
  <c r="B22" i="173"/>
  <c r="B21" i="173"/>
  <c r="B20" i="173"/>
  <c r="B19" i="173"/>
  <c r="B18" i="173"/>
  <c r="B16" i="173"/>
  <c r="B15" i="173"/>
  <c r="B14" i="173"/>
  <c r="B12" i="173"/>
  <c r="B23" i="172"/>
  <c r="B22" i="172"/>
  <c r="B21" i="172"/>
  <c r="B20" i="172"/>
  <c r="B19" i="172"/>
  <c r="B18" i="172"/>
  <c r="B17" i="172"/>
  <c r="B16" i="172"/>
  <c r="B15" i="172"/>
  <c r="B14" i="172"/>
  <c r="B13" i="172"/>
  <c r="B9" i="172"/>
  <c r="B6" i="172"/>
  <c r="B20" i="171"/>
  <c r="B19" i="171"/>
  <c r="B18" i="171"/>
  <c r="B17" i="171"/>
  <c r="B16" i="171"/>
  <c r="B15" i="171"/>
  <c r="B14" i="171"/>
  <c r="B12" i="171"/>
  <c r="B11" i="171"/>
  <c r="B10" i="171"/>
  <c r="AH7" i="171"/>
  <c r="AH24" i="171" s="1"/>
  <c r="X40" i="68" s="1"/>
  <c r="AC7" i="171"/>
  <c r="AB7" i="171"/>
  <c r="Y7" i="171"/>
  <c r="X7" i="171"/>
  <c r="U7" i="171"/>
  <c r="T7" i="171"/>
  <c r="AP7" i="171"/>
  <c r="AO14" i="170"/>
  <c r="AO16" i="170" s="1"/>
  <c r="AG39" i="68" s="1"/>
  <c r="AH39" i="68" s="1"/>
  <c r="AI39" i="68" s="1"/>
  <c r="B13" i="170"/>
  <c r="B11" i="170"/>
  <c r="B10" i="170"/>
  <c r="AH7" i="170"/>
  <c r="AH16" i="170"/>
  <c r="AC7" i="170"/>
  <c r="AB7" i="170"/>
  <c r="Y7" i="170"/>
  <c r="X7" i="170"/>
  <c r="U7" i="170"/>
  <c r="T7" i="170"/>
  <c r="AP7" i="170" s="1"/>
  <c r="B41" i="169"/>
  <c r="B40" i="169"/>
  <c r="B39" i="169"/>
  <c r="B37" i="169"/>
  <c r="B36" i="169"/>
  <c r="B35" i="169"/>
  <c r="B33" i="169"/>
  <c r="B32" i="169"/>
  <c r="B31" i="169"/>
  <c r="B28" i="169"/>
  <c r="B27" i="169"/>
  <c r="B26" i="169"/>
  <c r="B25" i="169"/>
  <c r="B24" i="169"/>
  <c r="B23" i="169"/>
  <c r="B22" i="169"/>
  <c r="B21" i="169"/>
  <c r="B20" i="169"/>
  <c r="B19" i="169"/>
  <c r="B18" i="169"/>
  <c r="B16" i="169"/>
  <c r="B15" i="169"/>
  <c r="B14" i="169"/>
  <c r="B13" i="169"/>
  <c r="B9" i="169"/>
  <c r="B8" i="169"/>
  <c r="B7" i="169"/>
  <c r="B6" i="169"/>
  <c r="B11" i="168"/>
  <c r="B10" i="168"/>
  <c r="AO7" i="168"/>
  <c r="AH7" i="168"/>
  <c r="AC7" i="168"/>
  <c r="AB7" i="168"/>
  <c r="Y7" i="168"/>
  <c r="X7" i="168"/>
  <c r="U7" i="168"/>
  <c r="T7" i="168"/>
  <c r="AP7" i="168" s="1"/>
  <c r="AP6" i="168"/>
  <c r="AO28" i="167"/>
  <c r="AQ28" i="167" s="1"/>
  <c r="B27" i="167"/>
  <c r="B26" i="167"/>
  <c r="B25" i="167"/>
  <c r="B24" i="167"/>
  <c r="B23" i="167"/>
  <c r="B22" i="167"/>
  <c r="B21" i="167"/>
  <c r="B20" i="167"/>
  <c r="B19" i="167"/>
  <c r="B18" i="167"/>
  <c r="B17" i="167"/>
  <c r="B16" i="167"/>
  <c r="B15" i="167"/>
  <c r="B14" i="167"/>
  <c r="B13" i="167"/>
  <c r="B12" i="167"/>
  <c r="B7" i="167"/>
  <c r="B6" i="167"/>
  <c r="AO11" i="166"/>
  <c r="AQ11" i="166" s="1"/>
  <c r="B44" i="165"/>
  <c r="B43" i="165"/>
  <c r="B42" i="165"/>
  <c r="B39" i="165"/>
  <c r="B38" i="165"/>
  <c r="B37" i="165"/>
  <c r="B36" i="165"/>
  <c r="B35" i="165"/>
  <c r="B33" i="165"/>
  <c r="B32" i="165"/>
  <c r="B31" i="165"/>
  <c r="B30" i="165"/>
  <c r="B29" i="165"/>
  <c r="B28" i="165"/>
  <c r="B26" i="165"/>
  <c r="B25" i="165"/>
  <c r="B24" i="165"/>
  <c r="B23" i="165"/>
  <c r="B22" i="165"/>
  <c r="B21" i="165"/>
  <c r="B20" i="165"/>
  <c r="B19" i="165"/>
  <c r="B18" i="165"/>
  <c r="B15" i="165"/>
  <c r="B14" i="165"/>
  <c r="B10" i="165"/>
  <c r="B9" i="165"/>
  <c r="B8" i="165"/>
  <c r="B7" i="165"/>
  <c r="B6" i="165"/>
  <c r="AO18" i="164"/>
  <c r="B17" i="164"/>
  <c r="B16" i="164"/>
  <c r="B15" i="164"/>
  <c r="B14" i="164"/>
  <c r="B13" i="164"/>
  <c r="B12" i="164"/>
  <c r="B8" i="164"/>
  <c r="B6" i="164"/>
  <c r="AO19" i="163"/>
  <c r="AQ19" i="163" s="1"/>
  <c r="B18" i="163"/>
  <c r="B16" i="163"/>
  <c r="B15" i="163"/>
  <c r="B14" i="163"/>
  <c r="B12" i="163"/>
  <c r="B11" i="163"/>
  <c r="B7" i="163"/>
  <c r="B21" i="162"/>
  <c r="B20" i="162"/>
  <c r="B19" i="162"/>
  <c r="B11" i="162"/>
  <c r="B10" i="162"/>
  <c r="B9" i="162"/>
  <c r="B8" i="162"/>
  <c r="B6" i="162"/>
  <c r="B79" i="161"/>
  <c r="B72" i="161"/>
  <c r="B71" i="161"/>
  <c r="B70" i="161"/>
  <c r="B69" i="161"/>
  <c r="B68" i="161"/>
  <c r="B67" i="161"/>
  <c r="B64" i="161"/>
  <c r="B63" i="161"/>
  <c r="B62" i="161"/>
  <c r="B61" i="161"/>
  <c r="B60" i="161"/>
  <c r="B59" i="161"/>
  <c r="B58" i="161"/>
  <c r="B57" i="161"/>
  <c r="B56" i="161"/>
  <c r="B54" i="161"/>
  <c r="B53" i="161"/>
  <c r="B52" i="161"/>
  <c r="B51" i="161"/>
  <c r="B50" i="161"/>
  <c r="B49" i="161"/>
  <c r="B48" i="161"/>
  <c r="B47" i="161"/>
  <c r="B45" i="161"/>
  <c r="B44" i="161"/>
  <c r="B43" i="161"/>
  <c r="B42" i="161"/>
  <c r="B41" i="161"/>
  <c r="B40" i="161"/>
  <c r="B39" i="161"/>
  <c r="B38" i="161"/>
  <c r="B37" i="161"/>
  <c r="B36" i="161"/>
  <c r="B34" i="161"/>
  <c r="B30" i="161"/>
  <c r="B29" i="161"/>
  <c r="B66" i="161"/>
  <c r="B65" i="161"/>
  <c r="B23" i="161"/>
  <c r="B22" i="161"/>
  <c r="B21" i="161"/>
  <c r="B20" i="161"/>
  <c r="B19" i="161"/>
  <c r="B17" i="161"/>
  <c r="B16" i="161"/>
  <c r="B15" i="161"/>
  <c r="B14" i="161"/>
  <c r="B13" i="161"/>
  <c r="B12" i="161"/>
  <c r="B10" i="161"/>
  <c r="B9" i="161"/>
  <c r="B8" i="161"/>
  <c r="B7" i="161"/>
  <c r="B6" i="161"/>
  <c r="AO45" i="160"/>
  <c r="AQ45" i="160" s="1"/>
  <c r="B44" i="160"/>
  <c r="B43" i="160"/>
  <c r="B42" i="160"/>
  <c r="B41" i="160"/>
  <c r="B40" i="160"/>
  <c r="B39" i="160"/>
  <c r="B38" i="160"/>
  <c r="B37" i="160"/>
  <c r="B36" i="160"/>
  <c r="B35" i="160"/>
  <c r="B34" i="160"/>
  <c r="B33" i="160"/>
  <c r="B32" i="160"/>
  <c r="B31" i="160"/>
  <c r="B29" i="160"/>
  <c r="B28" i="160"/>
  <c r="B27" i="160"/>
  <c r="B26" i="160"/>
  <c r="B25" i="160"/>
  <c r="B24" i="160"/>
  <c r="B23" i="160"/>
  <c r="B22" i="160"/>
  <c r="B21" i="160"/>
  <c r="B20" i="160"/>
  <c r="B19" i="160"/>
  <c r="B18" i="160"/>
  <c r="B17" i="160"/>
  <c r="B13" i="160"/>
  <c r="B11" i="160"/>
  <c r="B10" i="160"/>
  <c r="B9" i="160"/>
  <c r="B51" i="159"/>
  <c r="B50" i="159"/>
  <c r="B49" i="159"/>
  <c r="B48" i="159"/>
  <c r="B47" i="159"/>
  <c r="B46" i="159"/>
  <c r="B45" i="159"/>
  <c r="B44" i="159"/>
  <c r="B43" i="159"/>
  <c r="B42" i="159"/>
  <c r="B41" i="159"/>
  <c r="B40" i="159"/>
  <c r="B39" i="159"/>
  <c r="B38" i="159"/>
  <c r="B37" i="159"/>
  <c r="B36" i="159"/>
  <c r="B35" i="159"/>
  <c r="B34" i="159"/>
  <c r="B33" i="159"/>
  <c r="B32" i="159"/>
  <c r="B30" i="159"/>
  <c r="B29" i="159"/>
  <c r="B28" i="159"/>
  <c r="B27" i="159"/>
  <c r="B26" i="159"/>
  <c r="B25" i="159"/>
  <c r="B24" i="159"/>
  <c r="B19" i="159"/>
  <c r="B18" i="159"/>
  <c r="B16" i="159"/>
  <c r="B15" i="159"/>
  <c r="B14" i="159"/>
  <c r="B13" i="159"/>
  <c r="B12" i="159"/>
  <c r="B11" i="159"/>
  <c r="B10" i="159"/>
  <c r="B9" i="159"/>
  <c r="B8" i="159"/>
  <c r="B7" i="159"/>
  <c r="B6" i="159"/>
  <c r="B22" i="158"/>
  <c r="B18" i="158"/>
  <c r="B17" i="158"/>
  <c r="B16" i="158"/>
  <c r="B15" i="158"/>
  <c r="B13" i="158"/>
  <c r="B11" i="158"/>
  <c r="B10" i="158"/>
  <c r="AO7" i="158"/>
  <c r="AH7" i="158"/>
  <c r="AC7" i="158"/>
  <c r="AB7" i="158"/>
  <c r="Y7" i="158"/>
  <c r="X7" i="158"/>
  <c r="U7" i="158"/>
  <c r="T7" i="158"/>
  <c r="AP7" i="158"/>
  <c r="B38" i="157"/>
  <c r="B39" i="157"/>
  <c r="B40" i="157"/>
  <c r="B34" i="157"/>
  <c r="B37" i="157"/>
  <c r="B41" i="157"/>
  <c r="B36" i="157"/>
  <c r="B35" i="157"/>
  <c r="B32" i="157"/>
  <c r="B31" i="157"/>
  <c r="B33" i="157"/>
  <c r="B23" i="157"/>
  <c r="B20" i="157"/>
  <c r="B19" i="157"/>
  <c r="B17" i="157"/>
  <c r="B16" i="157"/>
  <c r="B15" i="157"/>
  <c r="B12" i="157"/>
  <c r="AG23" i="68"/>
  <c r="X23" i="68"/>
  <c r="B12" i="156"/>
  <c r="B10" i="156"/>
  <c r="AH7" i="156"/>
  <c r="AC7" i="156"/>
  <c r="AB7" i="156"/>
  <c r="Y7" i="156"/>
  <c r="X7" i="156"/>
  <c r="U7" i="156"/>
  <c r="T7" i="156"/>
  <c r="AO28" i="155"/>
  <c r="B26" i="155"/>
  <c r="B25" i="155"/>
  <c r="B24" i="155"/>
  <c r="B22" i="155"/>
  <c r="B21" i="155"/>
  <c r="B19" i="155"/>
  <c r="B18" i="155"/>
  <c r="B16" i="155"/>
  <c r="B15" i="155"/>
  <c r="B14" i="155"/>
  <c r="B12" i="155"/>
  <c r="B11" i="155"/>
  <c r="B10" i="155"/>
  <c r="AP7" i="155"/>
  <c r="AO7" i="155"/>
  <c r="AH7" i="155"/>
  <c r="AC7" i="155"/>
  <c r="AB7" i="155"/>
  <c r="Y7" i="155"/>
  <c r="X7" i="155"/>
  <c r="U7" i="155"/>
  <c r="T7" i="155"/>
  <c r="B40" i="154"/>
  <c r="B39" i="154"/>
  <c r="B38" i="154"/>
  <c r="B36" i="154"/>
  <c r="B35" i="154"/>
  <c r="B34" i="154"/>
  <c r="B32" i="154"/>
  <c r="B31" i="154"/>
  <c r="B30" i="154"/>
  <c r="B29" i="154"/>
  <c r="B28" i="154"/>
  <c r="B27" i="154"/>
  <c r="B26" i="154"/>
  <c r="B25" i="154"/>
  <c r="B24" i="154"/>
  <c r="B23" i="154"/>
  <c r="B21" i="154"/>
  <c r="B20" i="154"/>
  <c r="B19" i="154"/>
  <c r="B18" i="154"/>
  <c r="B17" i="154"/>
  <c r="B16" i="154"/>
  <c r="B15" i="154"/>
  <c r="B14" i="154"/>
  <c r="B13" i="154"/>
  <c r="B12" i="154"/>
  <c r="B11" i="154"/>
  <c r="B8" i="154"/>
  <c r="B6" i="154"/>
  <c r="B15" i="153"/>
  <c r="B13" i="153"/>
  <c r="B12" i="153"/>
  <c r="B11" i="153"/>
  <c r="B10" i="153"/>
  <c r="B6" i="153"/>
  <c r="B17" i="152"/>
  <c r="B16" i="152"/>
  <c r="B15" i="152"/>
  <c r="B12" i="152"/>
  <c r="B11" i="152"/>
  <c r="B7" i="152"/>
  <c r="B6" i="152"/>
  <c r="AO16" i="151"/>
  <c r="AQ16" i="151" s="1"/>
  <c r="B15" i="151"/>
  <c r="B14" i="151"/>
  <c r="B12" i="151"/>
  <c r="B11" i="151"/>
  <c r="B7" i="151"/>
  <c r="B6" i="151"/>
  <c r="AO24" i="150"/>
  <c r="AQ24" i="150" s="1"/>
  <c r="B23" i="150"/>
  <c r="B22" i="150"/>
  <c r="B21" i="150"/>
  <c r="B20" i="150"/>
  <c r="B19" i="150"/>
  <c r="B18" i="150"/>
  <c r="B17" i="150"/>
  <c r="B14" i="150"/>
  <c r="B13" i="150"/>
  <c r="B12" i="150"/>
  <c r="B11" i="150"/>
  <c r="B6" i="150"/>
  <c r="B15" i="149"/>
  <c r="B14" i="149"/>
  <c r="B13" i="149"/>
  <c r="B12" i="149"/>
  <c r="B8" i="149"/>
  <c r="B7" i="149"/>
  <c r="B6" i="149"/>
  <c r="B24" i="148"/>
  <c r="B23" i="148"/>
  <c r="B22" i="148"/>
  <c r="B21" i="148"/>
  <c r="B20" i="148"/>
  <c r="B19" i="148"/>
  <c r="B18" i="148"/>
  <c r="B17" i="148"/>
  <c r="B16" i="148"/>
  <c r="B15" i="148"/>
  <c r="B14" i="148"/>
  <c r="B13" i="148"/>
  <c r="B12" i="148"/>
  <c r="B11" i="148"/>
  <c r="B6" i="148"/>
  <c r="B15" i="147"/>
  <c r="B14" i="147"/>
  <c r="B13" i="147"/>
  <c r="B12" i="147"/>
  <c r="B11" i="147"/>
  <c r="B6" i="147"/>
  <c r="AO13" i="146"/>
  <c r="B12" i="146"/>
  <c r="B11" i="146"/>
  <c r="B10" i="146"/>
  <c r="AH7" i="146"/>
  <c r="AH15" i="146" s="1"/>
  <c r="X12" i="68" s="1"/>
  <c r="AC7" i="146"/>
  <c r="AB7" i="146"/>
  <c r="Y7" i="146"/>
  <c r="X7" i="146"/>
  <c r="U7" i="146"/>
  <c r="T7" i="146"/>
  <c r="AP7" i="146"/>
  <c r="B22" i="145"/>
  <c r="B21" i="145"/>
  <c r="B20" i="145"/>
  <c r="B19" i="145"/>
  <c r="B18" i="145"/>
  <c r="B17" i="145"/>
  <c r="B16" i="145"/>
  <c r="B15" i="145"/>
  <c r="B14" i="145"/>
  <c r="B13" i="145"/>
  <c r="B12" i="145"/>
  <c r="B11" i="145"/>
  <c r="B7" i="145"/>
  <c r="B19" i="144"/>
  <c r="B18" i="144"/>
  <c r="B17" i="144"/>
  <c r="B16" i="144"/>
  <c r="B15" i="144"/>
  <c r="B14" i="144"/>
  <c r="B13" i="144"/>
  <c r="B12" i="144"/>
  <c r="B11" i="144"/>
  <c r="B7" i="144"/>
  <c r="B6" i="144"/>
  <c r="B14" i="143"/>
  <c r="B13" i="143"/>
  <c r="B8" i="143"/>
  <c r="B6" i="143"/>
  <c r="B9" i="143"/>
  <c r="B7" i="143"/>
  <c r="AO11" i="142"/>
  <c r="AQ11" i="142" s="1"/>
  <c r="AH7" i="142"/>
  <c r="AC7" i="142"/>
  <c r="AB7" i="142"/>
  <c r="Y7" i="142"/>
  <c r="X7" i="142"/>
  <c r="U7" i="142"/>
  <c r="T7" i="142"/>
  <c r="AP7" i="142"/>
  <c r="AO13" i="140"/>
  <c r="AO15" i="140" s="1"/>
  <c r="AG6" i="68" s="1"/>
  <c r="AO30" i="139"/>
  <c r="AQ30" i="139" s="1"/>
  <c r="AG4" i="68"/>
  <c r="AH4" i="68" s="1"/>
  <c r="AI4" i="68" s="1"/>
  <c r="R45" i="84"/>
  <c r="Q45" i="84"/>
  <c r="P45" i="84"/>
  <c r="O45" i="84"/>
  <c r="N45" i="84"/>
  <c r="M45" i="84"/>
  <c r="L45" i="84"/>
  <c r="R44" i="84"/>
  <c r="Q44" i="84"/>
  <c r="P44" i="84"/>
  <c r="O44" i="84"/>
  <c r="N44" i="84"/>
  <c r="M44" i="84"/>
  <c r="L44" i="84"/>
  <c r="R43" i="84"/>
  <c r="Q43" i="84"/>
  <c r="P43" i="84"/>
  <c r="O43" i="84"/>
  <c r="N43" i="84"/>
  <c r="M43" i="84"/>
  <c r="L43" i="84"/>
  <c r="R42" i="84"/>
  <c r="Q42" i="84"/>
  <c r="P42" i="84"/>
  <c r="O42" i="84"/>
  <c r="N42" i="84"/>
  <c r="M42" i="84"/>
  <c r="L42" i="84"/>
  <c r="R41" i="84"/>
  <c r="Q41" i="84"/>
  <c r="P41" i="84"/>
  <c r="O41" i="84"/>
  <c r="N41" i="84"/>
  <c r="M41" i="84"/>
  <c r="L41" i="84"/>
  <c r="R40" i="84"/>
  <c r="Q40" i="84"/>
  <c r="P40" i="84"/>
  <c r="O40" i="84"/>
  <c r="N40" i="84"/>
  <c r="M40" i="84"/>
  <c r="L40" i="84"/>
  <c r="R39" i="84"/>
  <c r="Q39" i="84"/>
  <c r="P39" i="84"/>
  <c r="O39" i="84"/>
  <c r="N39" i="84"/>
  <c r="M39" i="84"/>
  <c r="L39" i="84"/>
  <c r="R38" i="84"/>
  <c r="Q38" i="84"/>
  <c r="P38" i="84"/>
  <c r="O38" i="84"/>
  <c r="N38" i="84"/>
  <c r="M38" i="84"/>
  <c r="L38" i="84"/>
  <c r="R37" i="84"/>
  <c r="Q37" i="84"/>
  <c r="P37" i="84"/>
  <c r="O37" i="84"/>
  <c r="N37" i="84"/>
  <c r="M37" i="84"/>
  <c r="L37" i="84"/>
  <c r="R36" i="84"/>
  <c r="Q36" i="84"/>
  <c r="P36" i="84"/>
  <c r="O36" i="84"/>
  <c r="N36" i="84"/>
  <c r="M36" i="84"/>
  <c r="L36" i="84"/>
  <c r="R35" i="84"/>
  <c r="Q35" i="84"/>
  <c r="P35" i="84"/>
  <c r="O35" i="84"/>
  <c r="N35" i="84"/>
  <c r="M35" i="84"/>
  <c r="L35" i="84"/>
  <c r="R34" i="84"/>
  <c r="Q34" i="84"/>
  <c r="P34" i="84"/>
  <c r="O34" i="84"/>
  <c r="N34" i="84"/>
  <c r="M34" i="84"/>
  <c r="R31" i="84"/>
  <c r="P31" i="84"/>
  <c r="L31" i="84"/>
  <c r="R30" i="84"/>
  <c r="P30" i="84"/>
  <c r="P15" i="84"/>
  <c r="N30" i="84"/>
  <c r="L30" i="84"/>
  <c r="L15" i="84"/>
  <c r="R29" i="84"/>
  <c r="P29" i="84"/>
  <c r="L29" i="84"/>
  <c r="R28" i="84"/>
  <c r="P28" i="84"/>
  <c r="L28" i="84"/>
  <c r="R27" i="84"/>
  <c r="Q27" i="84"/>
  <c r="P27" i="84"/>
  <c r="O27" i="84"/>
  <c r="N27" i="84"/>
  <c r="M27" i="84"/>
  <c r="L27" i="84"/>
  <c r="K27" i="84"/>
  <c r="R26" i="84"/>
  <c r="P26" i="84"/>
  <c r="P11" i="84"/>
  <c r="N26" i="84"/>
  <c r="L26" i="84"/>
  <c r="L11" i="84"/>
  <c r="R25" i="84"/>
  <c r="Q25" i="84"/>
  <c r="P25" i="84"/>
  <c r="O25" i="84"/>
  <c r="N25" i="84"/>
  <c r="M25" i="84"/>
  <c r="L25" i="84"/>
  <c r="K25" i="84"/>
  <c r="R24" i="84"/>
  <c r="P24" i="84"/>
  <c r="L24" i="84"/>
  <c r="R23" i="84"/>
  <c r="Q23" i="84"/>
  <c r="P23" i="84"/>
  <c r="O23" i="84"/>
  <c r="N23" i="84"/>
  <c r="M23" i="84"/>
  <c r="L23" i="84"/>
  <c r="K23" i="84"/>
  <c r="R22" i="84"/>
  <c r="P22" i="84"/>
  <c r="O22" i="84"/>
  <c r="N22" i="84"/>
  <c r="L22" i="84"/>
  <c r="K22" i="84"/>
  <c r="R21" i="84"/>
  <c r="Q21" i="84"/>
  <c r="P21" i="84"/>
  <c r="O21" i="84"/>
  <c r="N21" i="84"/>
  <c r="M21" i="84"/>
  <c r="L21" i="84"/>
  <c r="K21" i="84"/>
  <c r="P20" i="84"/>
  <c r="N20" i="84"/>
  <c r="L20" i="84"/>
  <c r="I136" i="83"/>
  <c r="J136" i="83" s="1"/>
  <c r="AO15" i="161" s="1"/>
  <c r="AQ15" i="161" s="1"/>
  <c r="G136" i="83"/>
  <c r="G135" i="83"/>
  <c r="I135" i="83" s="1"/>
  <c r="G134" i="83"/>
  <c r="I134" i="83" s="1"/>
  <c r="G133" i="83"/>
  <c r="I133" i="83" s="1"/>
  <c r="G132" i="83"/>
  <c r="G131" i="83"/>
  <c r="G128" i="83"/>
  <c r="I128" i="83" s="1"/>
  <c r="J128" i="83" s="1"/>
  <c r="AO10" i="161" s="1"/>
  <c r="AQ10" i="161" s="1"/>
  <c r="G127" i="83"/>
  <c r="G126" i="83"/>
  <c r="H126" i="83" s="1"/>
  <c r="G124" i="83"/>
  <c r="G118" i="83"/>
  <c r="G111" i="83"/>
  <c r="H111" i="83" s="1"/>
  <c r="G110" i="83"/>
  <c r="G109" i="83"/>
  <c r="I109" i="83" s="1"/>
  <c r="J109" i="83" s="1"/>
  <c r="G106" i="83"/>
  <c r="H106" i="83" s="1"/>
  <c r="I97" i="83"/>
  <c r="J97" i="83" s="1"/>
  <c r="G95" i="83"/>
  <c r="I95" i="83" s="1"/>
  <c r="J95" i="83" s="1"/>
  <c r="AO7" i="167" s="1"/>
  <c r="G94" i="83"/>
  <c r="G92" i="83"/>
  <c r="I92" i="83" s="1"/>
  <c r="G87" i="83"/>
  <c r="I87" i="83" s="1"/>
  <c r="J87" i="83" s="1"/>
  <c r="AO6" i="165" s="1"/>
  <c r="AP6" i="165" s="1"/>
  <c r="AQ6" i="165" s="1"/>
  <c r="J82" i="83"/>
  <c r="G49" i="83"/>
  <c r="I49" i="83"/>
  <c r="J49" i="83" s="1"/>
  <c r="AO20" i="159" s="1"/>
  <c r="G46" i="83"/>
  <c r="I46" i="83" s="1"/>
  <c r="J46" i="83" s="1"/>
  <c r="AO9" i="159" s="1"/>
  <c r="G43" i="83"/>
  <c r="G41" i="83"/>
  <c r="I41" i="83" s="1"/>
  <c r="J41" i="83" s="1"/>
  <c r="G39" i="83"/>
  <c r="I39" i="83" s="1"/>
  <c r="G68" i="83"/>
  <c r="G37" i="83"/>
  <c r="I37" i="83" s="1"/>
  <c r="J37" i="83" s="1"/>
  <c r="G36" i="83"/>
  <c r="H36" i="83" s="1"/>
  <c r="G122" i="83"/>
  <c r="G34" i="83"/>
  <c r="H34" i="83" s="1"/>
  <c r="G32" i="83"/>
  <c r="H32" i="83" s="1"/>
  <c r="G30" i="83"/>
  <c r="H30" i="83" s="1"/>
  <c r="G28" i="83"/>
  <c r="H28" i="83" s="1"/>
  <c r="G25" i="83"/>
  <c r="H25" i="83" s="1"/>
  <c r="I21" i="83"/>
  <c r="J21" i="83" s="1"/>
  <c r="AO6" i="147" s="1"/>
  <c r="AP6" i="147" s="1"/>
  <c r="G5" i="83"/>
  <c r="I5" i="83" s="1"/>
  <c r="J5" i="83" s="1"/>
  <c r="I3" i="83"/>
  <c r="P23" i="74"/>
  <c r="O23" i="74"/>
  <c r="N23" i="74"/>
  <c r="M23" i="74"/>
  <c r="L23" i="74"/>
  <c r="K23" i="74"/>
  <c r="J23" i="74"/>
  <c r="I23" i="74"/>
  <c r="H23" i="74"/>
  <c r="G23" i="74"/>
  <c r="F23" i="74"/>
  <c r="E23" i="74"/>
  <c r="D23" i="74"/>
  <c r="C23" i="74"/>
  <c r="B23" i="74"/>
  <c r="S17" i="74"/>
  <c r="P17" i="74"/>
  <c r="O17" i="74"/>
  <c r="N17" i="74"/>
  <c r="M17" i="74"/>
  <c r="L17" i="74"/>
  <c r="D17" i="74"/>
  <c r="C17" i="74"/>
  <c r="B17" i="74"/>
  <c r="S14" i="74"/>
  <c r="S25" i="74" s="1"/>
  <c r="P14" i="74"/>
  <c r="O14" i="74"/>
  <c r="N14" i="74"/>
  <c r="N25" i="74" s="1"/>
  <c r="M14" i="74"/>
  <c r="L14" i="74"/>
  <c r="L25" i="74" s="1"/>
  <c r="K14" i="74"/>
  <c r="J14" i="74"/>
  <c r="J25" i="74" s="1"/>
  <c r="I14" i="74"/>
  <c r="H14" i="74"/>
  <c r="H25" i="74" s="1"/>
  <c r="G14" i="74"/>
  <c r="F14" i="74"/>
  <c r="F25" i="74" s="1"/>
  <c r="E14" i="74"/>
  <c r="D14" i="74"/>
  <c r="D25" i="74" s="1"/>
  <c r="C14" i="74"/>
  <c r="C25" i="74" s="1"/>
  <c r="B14" i="74"/>
  <c r="B25" i="74" s="1"/>
  <c r="P8" i="74"/>
  <c r="P9" i="74" s="1"/>
  <c r="O8" i="74"/>
  <c r="O9" i="74" s="1"/>
  <c r="N8" i="74"/>
  <c r="N9" i="74" s="1"/>
  <c r="M8" i="74"/>
  <c r="M9" i="74" s="1"/>
  <c r="L8" i="74"/>
  <c r="L9" i="74" s="1"/>
  <c r="K8" i="74"/>
  <c r="K9" i="74" s="1"/>
  <c r="J8" i="74"/>
  <c r="J9" i="74" s="1"/>
  <c r="I8" i="74"/>
  <c r="I9" i="74" s="1"/>
  <c r="H8" i="74"/>
  <c r="H9" i="74" s="1"/>
  <c r="G8" i="74"/>
  <c r="G9" i="74" s="1"/>
  <c r="F8" i="74"/>
  <c r="F9" i="74" s="1"/>
  <c r="E8" i="74"/>
  <c r="E9" i="74" s="1"/>
  <c r="D8" i="74"/>
  <c r="D9" i="74" s="1"/>
  <c r="C8" i="74"/>
  <c r="C9" i="74" s="1"/>
  <c r="I40" i="134"/>
  <c r="H40" i="134"/>
  <c r="F40" i="134"/>
  <c r="H97" i="83"/>
  <c r="L9" i="84"/>
  <c r="P9" i="84"/>
  <c r="L13" i="84"/>
  <c r="P13" i="84"/>
  <c r="J15" i="74"/>
  <c r="E18" i="74"/>
  <c r="I18" i="74"/>
  <c r="M18" i="74"/>
  <c r="O18" i="74"/>
  <c r="E25" i="74"/>
  <c r="I25" i="74"/>
  <c r="M25" i="74"/>
  <c r="O25" i="74"/>
  <c r="B18" i="74"/>
  <c r="J18" i="74"/>
  <c r="M6" i="84"/>
  <c r="Q6" i="84"/>
  <c r="L7" i="84"/>
  <c r="P7" i="84"/>
  <c r="N5" i="84"/>
  <c r="L6" i="84"/>
  <c r="P6" i="84"/>
  <c r="R6" i="84"/>
  <c r="M7" i="84"/>
  <c r="Q7" i="84"/>
  <c r="L8" i="84"/>
  <c r="P8" i="84"/>
  <c r="M9" i="84"/>
  <c r="Q9" i="84"/>
  <c r="L10" i="84"/>
  <c r="N10" i="84"/>
  <c r="P10" i="84"/>
  <c r="M11" i="84"/>
  <c r="O11" i="84"/>
  <c r="Q11" i="84"/>
  <c r="L12" i="84"/>
  <c r="P12" i="84"/>
  <c r="M13" i="84"/>
  <c r="Q13" i="84"/>
  <c r="L14" i="84"/>
  <c r="P14" i="84"/>
  <c r="R14" i="84"/>
  <c r="M15" i="84"/>
  <c r="Q15" i="84"/>
  <c r="L16" i="84"/>
  <c r="P16" i="84"/>
  <c r="M22" i="84"/>
  <c r="Q22" i="84"/>
  <c r="K24" i="84"/>
  <c r="M24" i="84"/>
  <c r="O24" i="84"/>
  <c r="Q24" i="84"/>
  <c r="K26" i="84"/>
  <c r="M26" i="84"/>
  <c r="O26" i="84"/>
  <c r="Q26" i="84"/>
  <c r="K28" i="84"/>
  <c r="M28" i="84"/>
  <c r="O28" i="84"/>
  <c r="Q28" i="84"/>
  <c r="K29" i="84"/>
  <c r="M29" i="84"/>
  <c r="O29" i="84"/>
  <c r="Q29" i="84"/>
  <c r="K30" i="84"/>
  <c r="M30" i="84"/>
  <c r="O30" i="84"/>
  <c r="Q30" i="84"/>
  <c r="K31" i="84"/>
  <c r="M31" i="84"/>
  <c r="O31" i="84"/>
  <c r="Q31" i="84"/>
  <c r="M8" i="84"/>
  <c r="O8" i="84"/>
  <c r="Q8" i="84"/>
  <c r="M10" i="84"/>
  <c r="Q10" i="84"/>
  <c r="M12" i="84"/>
  <c r="Q12" i="84"/>
  <c r="M14" i="84"/>
  <c r="Q14" i="84"/>
  <c r="M16" i="84"/>
  <c r="O16" i="84"/>
  <c r="Q16" i="84"/>
  <c r="L5" i="84"/>
  <c r="H21" i="83"/>
  <c r="H94" i="83"/>
  <c r="H127" i="83"/>
  <c r="H49" i="83"/>
  <c r="H39" i="83"/>
  <c r="H10" i="83"/>
  <c r="H19" i="83"/>
  <c r="AG9" i="164"/>
  <c r="AM9" i="164" s="1"/>
  <c r="H5" i="83"/>
  <c r="I10" i="83"/>
  <c r="J10" i="83" s="1"/>
  <c r="AO6" i="141" s="1"/>
  <c r="I19" i="83"/>
  <c r="J19" i="83" s="1"/>
  <c r="F46" i="76"/>
  <c r="I25" i="83"/>
  <c r="J25" i="83" s="1"/>
  <c r="AN6" i="149" s="1"/>
  <c r="AO6" i="149" s="1"/>
  <c r="I30" i="83"/>
  <c r="J30" i="83" s="1"/>
  <c r="I34" i="83"/>
  <c r="J34" i="83" s="1"/>
  <c r="AO6" i="153" s="1"/>
  <c r="AO7" i="153" s="1"/>
  <c r="AQ24" i="153" s="1"/>
  <c r="AG7" i="153"/>
  <c r="AG18" i="153" s="1"/>
  <c r="W19" i="68" s="1"/>
  <c r="I36" i="83"/>
  <c r="J36" i="83" s="1"/>
  <c r="AP8" i="165"/>
  <c r="AQ8" i="165" s="1"/>
  <c r="I94" i="83"/>
  <c r="J94" i="83" s="1"/>
  <c r="J118" i="83"/>
  <c r="AO10" i="176" s="1"/>
  <c r="AP10" i="176" s="1"/>
  <c r="I127" i="83"/>
  <c r="J127" i="83" s="1"/>
  <c r="AO9" i="161" s="1"/>
  <c r="AQ9" i="161" s="1"/>
  <c r="H74" i="83"/>
  <c r="AF10" i="169"/>
  <c r="AG8" i="150"/>
  <c r="AG26" i="150" s="1"/>
  <c r="W16" i="68" s="1"/>
  <c r="AG11" i="165"/>
  <c r="AM11" i="165" s="1"/>
  <c r="AG9" i="173"/>
  <c r="AM9" i="173" s="1"/>
  <c r="H124" i="83"/>
  <c r="AG10" i="169"/>
  <c r="AG44" i="169" s="1"/>
  <c r="W38" i="68" s="1"/>
  <c r="I68" i="83"/>
  <c r="J68" i="83" s="1"/>
  <c r="AO8" i="160" s="1"/>
  <c r="AO57" i="160" s="1"/>
  <c r="H109" i="83"/>
  <c r="I124" i="83"/>
  <c r="J124" i="83" s="1"/>
  <c r="I111" i="83"/>
  <c r="J111" i="83" s="1"/>
  <c r="H41" i="83"/>
  <c r="J89" i="83"/>
  <c r="AO9" i="165" s="1"/>
  <c r="AO7" i="165"/>
  <c r="AO14" i="161"/>
  <c r="AQ14" i="161" s="1"/>
  <c r="AG47" i="165"/>
  <c r="AM47" i="165" s="1"/>
  <c r="AF11" i="165"/>
  <c r="AF42" i="175"/>
  <c r="AF44" i="175" s="1"/>
  <c r="V46" i="68" s="1"/>
  <c r="V5" i="68"/>
  <c r="AL10" i="182"/>
  <c r="AM10" i="182" s="1"/>
  <c r="AF12" i="168"/>
  <c r="AF11" i="166"/>
  <c r="AF13" i="166" s="1"/>
  <c r="AF11" i="142"/>
  <c r="AF11" i="179"/>
  <c r="AF13" i="179" s="1"/>
  <c r="V50" i="68" s="1"/>
  <c r="AF14" i="168"/>
  <c r="V36" i="68" s="1"/>
  <c r="V37" i="68" s="1"/>
  <c r="AP11" i="179"/>
  <c r="AP13" i="179" s="1"/>
  <c r="AF13" i="142"/>
  <c r="V8" i="68" s="1"/>
  <c r="AP42" i="175"/>
  <c r="AP11" i="142"/>
  <c r="AF24" i="172"/>
  <c r="AF26" i="172" s="1"/>
  <c r="V41" i="68" s="1"/>
  <c r="AH10" i="172"/>
  <c r="AH24" i="172"/>
  <c r="AP13" i="142"/>
  <c r="AF20" i="144"/>
  <c r="AF22" i="144" s="1"/>
  <c r="V10" i="68" s="1"/>
  <c r="AH75" i="161"/>
  <c r="AH8" i="151"/>
  <c r="AH18" i="151"/>
  <c r="X17" i="68" s="1"/>
  <c r="AH16" i="153"/>
  <c r="AF13" i="146"/>
  <c r="AF15" i="146" s="1"/>
  <c r="V12" i="68" s="1"/>
  <c r="AF14" i="176"/>
  <c r="AF47" i="176" s="1"/>
  <c r="V47" i="68" s="1"/>
  <c r="AF22" i="162"/>
  <c r="AF24" i="162" s="1"/>
  <c r="V29" i="68" s="1"/>
  <c r="AF21" i="159"/>
  <c r="X47" i="68"/>
  <c r="AF24" i="150"/>
  <c r="AF26" i="150" s="1"/>
  <c r="V16" i="68" s="1"/>
  <c r="AF14" i="170"/>
  <c r="AF16" i="170" s="1"/>
  <c r="V39" i="68" s="1"/>
  <c r="AH11" i="142"/>
  <c r="AH13" i="142"/>
  <c r="AH13" i="182"/>
  <c r="AH11" i="166"/>
  <c r="AH13" i="166" s="1"/>
  <c r="X33" i="68" s="1"/>
  <c r="AH19" i="141"/>
  <c r="AH21" i="141" s="1"/>
  <c r="X7" i="68" s="1"/>
  <c r="AF26" i="173"/>
  <c r="AH22" i="162"/>
  <c r="AH11" i="179"/>
  <c r="AH20" i="181"/>
  <c r="AH22" i="181" s="1"/>
  <c r="X53" i="68" s="1"/>
  <c r="AH26" i="173"/>
  <c r="AG14" i="183"/>
  <c r="X56" i="68" s="1"/>
  <c r="AF19" i="141"/>
  <c r="AF21" i="141" s="1"/>
  <c r="V7" i="68" s="1"/>
  <c r="AH8" i="147"/>
  <c r="AF26" i="184"/>
  <c r="V58" i="68" s="1"/>
  <c r="AF14" i="185"/>
  <c r="AF16" i="185" s="1"/>
  <c r="V59" i="68" s="1"/>
  <c r="AH25" i="158"/>
  <c r="X24" i="68" s="1"/>
  <c r="AH12" i="162"/>
  <c r="AF12" i="177"/>
  <c r="AM12" i="177" s="1"/>
  <c r="AH9" i="154"/>
  <c r="AH43" i="154" s="1"/>
  <c r="AF27" i="148"/>
  <c r="AF29" i="148" s="1"/>
  <c r="AH16" i="147"/>
  <c r="AF18" i="164"/>
  <c r="AF20" i="164" s="1"/>
  <c r="V31" i="68" s="1"/>
  <c r="AH28" i="167"/>
  <c r="AH30" i="167" s="1"/>
  <c r="AH7" i="153"/>
  <c r="AH18" i="153" s="1"/>
  <c r="AF42" i="169"/>
  <c r="AF44" i="169" s="1"/>
  <c r="V38" i="68" s="1"/>
  <c r="AH10" i="169"/>
  <c r="AH30" i="155"/>
  <c r="X21" i="68" s="1"/>
  <c r="AF16" i="147"/>
  <c r="AL11" i="182"/>
  <c r="AF16" i="153"/>
  <c r="AF18" i="153" s="1"/>
  <c r="V19" i="68" s="1"/>
  <c r="AH21" i="180"/>
  <c r="AH23" i="180" s="1"/>
  <c r="AH25" i="180" s="1"/>
  <c r="AH14" i="156"/>
  <c r="AH16" i="156"/>
  <c r="X22" i="68" s="1"/>
  <c r="AH11" i="165"/>
  <c r="AH19" i="163"/>
  <c r="AH38" i="181"/>
  <c r="AH40" i="181"/>
  <c r="AF13" i="178"/>
  <c r="AH14" i="185"/>
  <c r="AH16" i="185" s="1"/>
  <c r="X59" i="68" s="1"/>
  <c r="AH8" i="148"/>
  <c r="AH29" i="148"/>
  <c r="X14" i="68" s="1"/>
  <c r="Y14" i="68" s="1"/>
  <c r="AF14" i="156"/>
  <c r="AF20" i="181"/>
  <c r="AF22" i="181" s="1"/>
  <c r="V53" i="68" s="1"/>
  <c r="AH42" i="169"/>
  <c r="X57" i="68"/>
  <c r="AH18" i="152"/>
  <c r="AF16" i="156"/>
  <c r="AF47" i="165"/>
  <c r="V32" i="68" s="1"/>
  <c r="AF30" i="167"/>
  <c r="V34" i="68" s="1"/>
  <c r="AF30" i="155"/>
  <c r="V21" i="68" s="1"/>
  <c r="AP14" i="185"/>
  <c r="V52" i="68"/>
  <c r="X16" i="68"/>
  <c r="AP13" i="178"/>
  <c r="AP22" i="162"/>
  <c r="AQ22" i="162" s="1"/>
  <c r="AF14" i="177"/>
  <c r="V48" i="68" s="1"/>
  <c r="AF17" i="174"/>
  <c r="V44" i="68" s="1"/>
  <c r="V14" i="68"/>
  <c r="AF25" i="158"/>
  <c r="V24" i="68" s="1"/>
  <c r="AP16" i="153"/>
  <c r="AP13" i="140"/>
  <c r="AQ13" i="140" s="1"/>
  <c r="AP16" i="185"/>
  <c r="Y28" i="68"/>
  <c r="Y6" i="84"/>
  <c r="Z6" i="84"/>
  <c r="T6" i="84"/>
  <c r="T14" i="84"/>
  <c r="AH28" i="150"/>
  <c r="W12" i="68"/>
  <c r="W48" i="68"/>
  <c r="H103" i="83"/>
  <c r="AH23" i="187"/>
  <c r="AO23" i="187"/>
  <c r="AO25" i="187" s="1"/>
  <c r="R31" i="187"/>
  <c r="V31" i="187"/>
  <c r="W36" i="68"/>
  <c r="I112" i="83"/>
  <c r="H112" i="83"/>
  <c r="AG15" i="187"/>
  <c r="AG31" i="187" s="1"/>
  <c r="W8" i="68"/>
  <c r="AO13" i="142"/>
  <c r="AG15" i="140"/>
  <c r="X5" i="68"/>
  <c r="V4" i="68"/>
  <c r="X4" i="68"/>
  <c r="Y4" i="68" s="1"/>
  <c r="AB75" i="161"/>
  <c r="AI71" i="161"/>
  <c r="AI8" i="161"/>
  <c r="AI6" i="161"/>
  <c r="AI19" i="161"/>
  <c r="AI60" i="161"/>
  <c r="AI64" i="161"/>
  <c r="AI69" i="161"/>
  <c r="AI29" i="161"/>
  <c r="AI65" i="161"/>
  <c r="AI34" i="161"/>
  <c r="AI54" i="161"/>
  <c r="AI13" i="161"/>
  <c r="AI59" i="161"/>
  <c r="AI47" i="161"/>
  <c r="AI30" i="161"/>
  <c r="AI67" i="161"/>
  <c r="AI56" i="161"/>
  <c r="AI39" i="161"/>
  <c r="AI7" i="161"/>
  <c r="AI17" i="161"/>
  <c r="AI28" i="161"/>
  <c r="AI21" i="161"/>
  <c r="AI62" i="161"/>
  <c r="AI16" i="161"/>
  <c r="AI40" i="161"/>
  <c r="AI38" i="161"/>
  <c r="AI70" i="161"/>
  <c r="AI23" i="161"/>
  <c r="AI52" i="161"/>
  <c r="AI57" i="161"/>
  <c r="AI46" i="161"/>
  <c r="AI37" i="161"/>
  <c r="AI49" i="161"/>
  <c r="AI58" i="161"/>
  <c r="AI36" i="161"/>
  <c r="AI51" i="161"/>
  <c r="AI61" i="161"/>
  <c r="AI15" i="161"/>
  <c r="AI68" i="161"/>
  <c r="AI35" i="161"/>
  <c r="AI53" i="161"/>
  <c r="AI44" i="161"/>
  <c r="AI42" i="161"/>
  <c r="AI48" i="161"/>
  <c r="AI22" i="161"/>
  <c r="AI43" i="161"/>
  <c r="AI66" i="161"/>
  <c r="AI10" i="161"/>
  <c r="AI45" i="161"/>
  <c r="AI50" i="161"/>
  <c r="AI63" i="161"/>
  <c r="AI41" i="161"/>
  <c r="AI72" i="161"/>
  <c r="AI12" i="161"/>
  <c r="AI9" i="161"/>
  <c r="AI14" i="161"/>
  <c r="AI55" i="161"/>
  <c r="AI73" i="161"/>
  <c r="AI81" i="161"/>
  <c r="I12" i="175"/>
  <c r="D8" i="141"/>
  <c r="AI40" i="175"/>
  <c r="M12" i="175"/>
  <c r="M44" i="175" s="1"/>
  <c r="T42" i="175"/>
  <c r="M8" i="141"/>
  <c r="P12" i="175"/>
  <c r="AI7" i="175"/>
  <c r="T8" i="141"/>
  <c r="Y42" i="175"/>
  <c r="AB42" i="175"/>
  <c r="AB44" i="175" s="1"/>
  <c r="D12" i="175"/>
  <c r="J12" i="175" s="1"/>
  <c r="X42" i="175"/>
  <c r="L12" i="175"/>
  <c r="AI6" i="154"/>
  <c r="AI7" i="141"/>
  <c r="H8" i="141"/>
  <c r="AI34" i="175"/>
  <c r="Y11" i="142"/>
  <c r="AI18" i="154"/>
  <c r="Y12" i="175"/>
  <c r="I42" i="175"/>
  <c r="H12" i="175"/>
  <c r="AI6" i="175"/>
  <c r="AB12" i="175"/>
  <c r="M42" i="175"/>
  <c r="P8" i="141"/>
  <c r="AI32" i="175"/>
  <c r="I8" i="141"/>
  <c r="AI27" i="175"/>
  <c r="AI25" i="175"/>
  <c r="AI28" i="175"/>
  <c r="AI32" i="154"/>
  <c r="I19" i="141"/>
  <c r="I21" i="141" s="1"/>
  <c r="E8" i="141"/>
  <c r="AI29" i="175"/>
  <c r="AI21" i="175"/>
  <c r="AI6" i="141"/>
  <c r="AB8" i="141"/>
  <c r="L42" i="175"/>
  <c r="L44" i="175" s="1"/>
  <c r="M46" i="175" s="1"/>
  <c r="D42" i="175"/>
  <c r="AI8" i="175"/>
  <c r="AI17" i="175"/>
  <c r="X13" i="140"/>
  <c r="Z13" i="140" s="1"/>
  <c r="AI11" i="175"/>
  <c r="P42" i="175"/>
  <c r="E42" i="175"/>
  <c r="Q8" i="141"/>
  <c r="Q21" i="141" s="1"/>
  <c r="U19" i="141"/>
  <c r="L13" i="140"/>
  <c r="L15" i="140" s="1"/>
  <c r="Q11" i="142"/>
  <c r="Q13" i="142" s="1"/>
  <c r="Q12" i="175"/>
  <c r="P11" i="142"/>
  <c r="P13" i="142"/>
  <c r="AI17" i="141"/>
  <c r="M13" i="140"/>
  <c r="M15" i="140" s="1"/>
  <c r="M17" i="140" s="1"/>
  <c r="AI18" i="175"/>
  <c r="AI18" i="141"/>
  <c r="T13" i="140"/>
  <c r="T15" i="140" s="1"/>
  <c r="P13" i="140"/>
  <c r="P15" i="140" s="1"/>
  <c r="AI24" i="175"/>
  <c r="H42" i="175"/>
  <c r="H44" i="175" s="1"/>
  <c r="X19" i="141"/>
  <c r="AD19" i="141" s="1"/>
  <c r="AC42" i="175"/>
  <c r="U12" i="175"/>
  <c r="AI41" i="175"/>
  <c r="AI26" i="175"/>
  <c r="U42" i="175"/>
  <c r="X12" i="175"/>
  <c r="U8" i="141"/>
  <c r="U21" i="141" s="1"/>
  <c r="L8" i="141"/>
  <c r="L21" i="141" s="1"/>
  <c r="AI22" i="175"/>
  <c r="AI38" i="175"/>
  <c r="E12" i="175"/>
  <c r="E44" i="175" s="1"/>
  <c r="AC8" i="141"/>
  <c r="AI14" i="141"/>
  <c r="P19" i="141"/>
  <c r="AI36" i="175"/>
  <c r="AI37" i="175"/>
  <c r="D13" i="140"/>
  <c r="D15" i="140"/>
  <c r="AI9" i="175"/>
  <c r="AI19" i="175"/>
  <c r="AI31" i="175"/>
  <c r="AI39" i="175"/>
  <c r="AC12" i="175"/>
  <c r="Y13" i="140"/>
  <c r="Y15" i="140" s="1"/>
  <c r="AI13" i="154"/>
  <c r="AB13" i="140"/>
  <c r="AI13" i="140"/>
  <c r="L19" i="141"/>
  <c r="D19" i="141"/>
  <c r="D21" i="141" s="1"/>
  <c r="AI20" i="175"/>
  <c r="X8" i="141"/>
  <c r="T12" i="175"/>
  <c r="Z12" i="175" s="1"/>
  <c r="Q42" i="175"/>
  <c r="AI35" i="175"/>
  <c r="M11" i="142"/>
  <c r="M13" i="142" s="1"/>
  <c r="AI31" i="154"/>
  <c r="H13" i="140"/>
  <c r="H15" i="140" s="1"/>
  <c r="I17" i="140" s="1"/>
  <c r="T11" i="142"/>
  <c r="T13" i="142"/>
  <c r="AI19" i="154"/>
  <c r="X41" i="154"/>
  <c r="E41" i="154"/>
  <c r="AI30" i="175"/>
  <c r="AI26" i="154"/>
  <c r="AC41" i="154"/>
  <c r="AC43" i="154" s="1"/>
  <c r="E19" i="141"/>
  <c r="AI16" i="141"/>
  <c r="M19" i="141"/>
  <c r="P41" i="154"/>
  <c r="P43" i="154" s="1"/>
  <c r="AB19" i="141"/>
  <c r="AI11" i="141"/>
  <c r="T41" i="154"/>
  <c r="AI16" i="154"/>
  <c r="AI28" i="154"/>
  <c r="I11" i="142"/>
  <c r="I13" i="142" s="1"/>
  <c r="X11" i="142"/>
  <c r="X13" i="142" s="1"/>
  <c r="AI23" i="175"/>
  <c r="Q19" i="141"/>
  <c r="AI15" i="154"/>
  <c r="AI15" i="141"/>
  <c r="U41" i="154"/>
  <c r="Y41" i="154"/>
  <c r="Y43" i="154" s="1"/>
  <c r="AI21" i="154"/>
  <c r="AI38" i="154"/>
  <c r="AB11" i="142"/>
  <c r="AI10" i="142"/>
  <c r="AI12" i="154"/>
  <c r="Q13" i="140"/>
  <c r="Q15" i="140" s="1"/>
  <c r="AC11" i="142"/>
  <c r="H11" i="142"/>
  <c r="H13" i="142" s="1"/>
  <c r="AI36" i="154"/>
  <c r="AI20" i="154"/>
  <c r="H19" i="141"/>
  <c r="D11" i="142"/>
  <c r="D13" i="142"/>
  <c r="E15" i="142" s="1"/>
  <c r="U11" i="142"/>
  <c r="Y8" i="141"/>
  <c r="U13" i="140"/>
  <c r="U15" i="140" s="1"/>
  <c r="AI13" i="141"/>
  <c r="L11" i="142"/>
  <c r="L13" i="142"/>
  <c r="E11" i="142"/>
  <c r="E13" i="142" s="1"/>
  <c r="AI12" i="141"/>
  <c r="AI29" i="154"/>
  <c r="E13" i="140"/>
  <c r="E15" i="140" s="1"/>
  <c r="AI23" i="154"/>
  <c r="AI30" i="154"/>
  <c r="L41" i="154"/>
  <c r="I13" i="140"/>
  <c r="I15" i="140"/>
  <c r="AI34" i="154"/>
  <c r="AI27" i="154"/>
  <c r="AC19" i="141"/>
  <c r="Y19" i="141"/>
  <c r="M41" i="154"/>
  <c r="M43" i="154" s="1"/>
  <c r="AC13" i="140"/>
  <c r="AC15" i="140" s="1"/>
  <c r="AI14" i="154"/>
  <c r="T19" i="141"/>
  <c r="AI11" i="154"/>
  <c r="AB41" i="154"/>
  <c r="AI24" i="154"/>
  <c r="I41" i="154"/>
  <c r="D41" i="154"/>
  <c r="D43" i="154" s="1"/>
  <c r="AI40" i="154"/>
  <c r="Q41" i="154"/>
  <c r="H41" i="154"/>
  <c r="AI39" i="154"/>
  <c r="AI8" i="154"/>
  <c r="AI35" i="154"/>
  <c r="AI83" i="161"/>
  <c r="AI40" i="159"/>
  <c r="D21" i="159"/>
  <c r="AI29" i="159"/>
  <c r="AI43" i="159"/>
  <c r="AI11" i="159"/>
  <c r="AI16" i="159"/>
  <c r="AI28" i="159"/>
  <c r="AI36" i="159"/>
  <c r="AI46" i="159"/>
  <c r="AI13" i="159"/>
  <c r="L21" i="159"/>
  <c r="Y21" i="159"/>
  <c r="AI41" i="159"/>
  <c r="Q21" i="159"/>
  <c r="X28" i="155"/>
  <c r="AI18" i="155"/>
  <c r="AI37" i="159"/>
  <c r="AI31" i="159"/>
  <c r="AI8" i="159"/>
  <c r="U28" i="155"/>
  <c r="U30" i="155" s="1"/>
  <c r="T21" i="159"/>
  <c r="AI18" i="159"/>
  <c r="AI10" i="159"/>
  <c r="AI7" i="159"/>
  <c r="L28" i="155"/>
  <c r="N28" i="155" s="1"/>
  <c r="AI35" i="159"/>
  <c r="AC21" i="159"/>
  <c r="U21" i="159"/>
  <c r="H21" i="159"/>
  <c r="N21" i="159" s="1"/>
  <c r="AI6" i="159"/>
  <c r="AI15" i="159"/>
  <c r="AI20" i="159"/>
  <c r="AI42" i="159"/>
  <c r="AI44" i="159"/>
  <c r="P21" i="159"/>
  <c r="R21" i="159" s="1"/>
  <c r="AI9" i="159"/>
  <c r="AI26" i="159"/>
  <c r="E28" i="155"/>
  <c r="E30" i="155" s="1"/>
  <c r="AI39" i="159"/>
  <c r="AI48" i="159"/>
  <c r="AI25" i="159"/>
  <c r="AI30" i="159"/>
  <c r="AI47" i="159"/>
  <c r="P28" i="155"/>
  <c r="AI27" i="159"/>
  <c r="M21" i="159"/>
  <c r="AI38" i="159"/>
  <c r="E21" i="159"/>
  <c r="AI26" i="155"/>
  <c r="AB66" i="159"/>
  <c r="AI12" i="159"/>
  <c r="AI45" i="159"/>
  <c r="AI24" i="159"/>
  <c r="AI19" i="159"/>
  <c r="T28" i="155"/>
  <c r="I28" i="155"/>
  <c r="I30" i="155" s="1"/>
  <c r="I32" i="155" s="1"/>
  <c r="I21" i="159"/>
  <c r="X21" i="159"/>
  <c r="AI32" i="159"/>
  <c r="AI24" i="155"/>
  <c r="D28" i="155"/>
  <c r="D30" i="155" s="1"/>
  <c r="AI14" i="159"/>
  <c r="AI34" i="159"/>
  <c r="AI21" i="155"/>
  <c r="AB28" i="155"/>
  <c r="AD28" i="155" s="1"/>
  <c r="AI49" i="159"/>
  <c r="H28" i="155"/>
  <c r="AI33" i="159"/>
  <c r="Y28" i="155"/>
  <c r="Y30" i="155" s="1"/>
  <c r="M28" i="155"/>
  <c r="M30" i="155" s="1"/>
  <c r="Q28" i="155"/>
  <c r="Q30" i="155" s="1"/>
  <c r="AI22" i="155"/>
  <c r="AI12" i="155"/>
  <c r="AI19" i="155"/>
  <c r="AI14" i="155"/>
  <c r="AI25" i="155"/>
  <c r="AI16" i="155"/>
  <c r="AI11" i="155"/>
  <c r="AC28" i="155"/>
  <c r="AC30" i="155" s="1"/>
  <c r="U44" i="175"/>
  <c r="AI41" i="154"/>
  <c r="AI19" i="141"/>
  <c r="AB15" i="140"/>
  <c r="AC17" i="140" s="1"/>
  <c r="X30" i="155"/>
  <c r="R12" i="175"/>
  <c r="E43" i="154"/>
  <c r="Z19" i="141"/>
  <c r="U43" i="154"/>
  <c r="P21" i="141"/>
  <c r="L43" i="154"/>
  <c r="M21" i="141"/>
  <c r="T43" i="154"/>
  <c r="AI11" i="142"/>
  <c r="AB13" i="142"/>
  <c r="AI13" i="142" s="1"/>
  <c r="AD11" i="142"/>
  <c r="AB21" i="141"/>
  <c r="AD12" i="175"/>
  <c r="AI12" i="175"/>
  <c r="AB43" i="154"/>
  <c r="N12" i="175"/>
  <c r="AI21" i="159"/>
  <c r="AD42" i="175"/>
  <c r="Q43" i="154"/>
  <c r="H43" i="154"/>
  <c r="I43" i="154"/>
  <c r="E21" i="141"/>
  <c r="D44" i="175"/>
  <c r="E46" i="175" s="1"/>
  <c r="Z28" i="155"/>
  <c r="T30" i="155"/>
  <c r="P30" i="155"/>
  <c r="L30" i="155"/>
  <c r="H30" i="155"/>
  <c r="I45" i="154"/>
  <c r="M52" i="159"/>
  <c r="E8" i="178"/>
  <c r="M9" i="164"/>
  <c r="U7" i="153"/>
  <c r="L12" i="168"/>
  <c r="AC52" i="159"/>
  <c r="AC54" i="159" s="1"/>
  <c r="P52" i="159"/>
  <c r="P54" i="159" s="1"/>
  <c r="AD13" i="144"/>
  <c r="AI13" i="144"/>
  <c r="I7" i="153"/>
  <c r="U13" i="146"/>
  <c r="U15" i="146" s="1"/>
  <c r="D7" i="153"/>
  <c r="X8" i="148"/>
  <c r="AB10" i="172"/>
  <c r="AI6" i="172"/>
  <c r="L9" i="164"/>
  <c r="D9" i="164"/>
  <c r="X52" i="159"/>
  <c r="D10" i="143"/>
  <c r="T10" i="143"/>
  <c r="I12" i="168"/>
  <c r="I14" i="168"/>
  <c r="M14" i="156"/>
  <c r="M16" i="156" s="1"/>
  <c r="L42" i="157"/>
  <c r="M9" i="149"/>
  <c r="H27" i="148"/>
  <c r="U8" i="178"/>
  <c r="X12" i="168"/>
  <c r="AD11" i="148"/>
  <c r="AI11" i="148"/>
  <c r="AB27" i="148"/>
  <c r="AI27" i="148" s="1"/>
  <c r="X9" i="164"/>
  <c r="Q8" i="148"/>
  <c r="AD6" i="153"/>
  <c r="AB7" i="153"/>
  <c r="AB18" i="153" s="1"/>
  <c r="AI6" i="153"/>
  <c r="AI14" i="172"/>
  <c r="AD14" i="172"/>
  <c r="L9" i="149"/>
  <c r="L20" i="149" s="1"/>
  <c r="AD6" i="143"/>
  <c r="AI6" i="143"/>
  <c r="Y8" i="147"/>
  <c r="X8" i="150"/>
  <c r="Z8" i="150" s="1"/>
  <c r="U16" i="151"/>
  <c r="U8" i="152"/>
  <c r="D18" i="152"/>
  <c r="AI19" i="148"/>
  <c r="AD19" i="148"/>
  <c r="AD16" i="172"/>
  <c r="AI16" i="172"/>
  <c r="E18" i="152"/>
  <c r="E20" i="152" s="1"/>
  <c r="T52" i="159"/>
  <c r="L18" i="152"/>
  <c r="T8" i="152"/>
  <c r="P8" i="178"/>
  <c r="V8" i="178" s="1"/>
  <c r="AI20" i="143"/>
  <c r="AD20" i="143"/>
  <c r="E7" i="153"/>
  <c r="I52" i="159"/>
  <c r="I54" i="159" s="1"/>
  <c r="AF52" i="159"/>
  <c r="Q52" i="159"/>
  <c r="AD18" i="148"/>
  <c r="AI18" i="148"/>
  <c r="E52" i="159"/>
  <c r="E54" i="159" s="1"/>
  <c r="AI12" i="148"/>
  <c r="AD12" i="148"/>
  <c r="H18" i="149"/>
  <c r="AC9" i="164"/>
  <c r="T8" i="147"/>
  <c r="H10" i="143"/>
  <c r="X8" i="178"/>
  <c r="X15" i="178" s="1"/>
  <c r="Z15" i="178" s="1"/>
  <c r="L52" i="159"/>
  <c r="L54" i="159" s="1"/>
  <c r="M10" i="143"/>
  <c r="Q20" i="144"/>
  <c r="Q22" i="144" s="1"/>
  <c r="AI6" i="151"/>
  <c r="AB8" i="151"/>
  <c r="AD6" i="151"/>
  <c r="AB8" i="178"/>
  <c r="AI6" i="178"/>
  <c r="AD6" i="178"/>
  <c r="Y52" i="159"/>
  <c r="H52" i="159"/>
  <c r="U52" i="159"/>
  <c r="U54" i="159" s="1"/>
  <c r="U10" i="172"/>
  <c r="Q27" i="148"/>
  <c r="AD6" i="148"/>
  <c r="AI6" i="148"/>
  <c r="AB8" i="148"/>
  <c r="E8" i="147"/>
  <c r="AI16" i="143"/>
  <c r="AD14" i="144"/>
  <c r="AI14" i="144"/>
  <c r="X8" i="147"/>
  <c r="H8" i="150"/>
  <c r="AD20" i="148"/>
  <c r="AI20" i="148"/>
  <c r="I14" i="156"/>
  <c r="I16" i="156" s="1"/>
  <c r="P20" i="144"/>
  <c r="P22" i="144" s="1"/>
  <c r="Q24" i="144" s="1"/>
  <c r="AI6" i="144"/>
  <c r="AD6" i="144"/>
  <c r="D10" i="172"/>
  <c r="AI17" i="144"/>
  <c r="AD17" i="144"/>
  <c r="P9" i="164"/>
  <c r="AC12" i="168"/>
  <c r="Q9" i="164"/>
  <c r="I8" i="178"/>
  <c r="X20" i="144"/>
  <c r="X22" i="144" s="1"/>
  <c r="AD21" i="167"/>
  <c r="AI21" i="167"/>
  <c r="T24" i="150"/>
  <c r="M8" i="178"/>
  <c r="AI7" i="151"/>
  <c r="AD7" i="151"/>
  <c r="AD13" i="148"/>
  <c r="AI13" i="148"/>
  <c r="AI12" i="144"/>
  <c r="AD12" i="144"/>
  <c r="X10" i="143"/>
  <c r="AC9" i="149"/>
  <c r="Q12" i="168"/>
  <c r="Q14" i="168"/>
  <c r="Q16" i="168" s="1"/>
  <c r="E9" i="149"/>
  <c r="Y23" i="158"/>
  <c r="Y25" i="158" s="1"/>
  <c r="Y18" i="152"/>
  <c r="AI19" i="143"/>
  <c r="AD19" i="143"/>
  <c r="AD20" i="145"/>
  <c r="AI20" i="145"/>
  <c r="I8" i="150"/>
  <c r="I26" i="150" s="1"/>
  <c r="E8" i="150"/>
  <c r="D20" i="144"/>
  <c r="M8" i="147"/>
  <c r="M12" i="168"/>
  <c r="M14" i="168" s="1"/>
  <c r="H42" i="157"/>
  <c r="AI19" i="172"/>
  <c r="AD19" i="172"/>
  <c r="T8" i="151"/>
  <c r="T18" i="151" s="1"/>
  <c r="Z18" i="151" s="1"/>
  <c r="D52" i="159"/>
  <c r="D54" i="159" s="1"/>
  <c r="AB52" i="159"/>
  <c r="P7" i="153"/>
  <c r="AI6" i="152"/>
  <c r="AD6" i="152"/>
  <c r="AB8" i="152"/>
  <c r="Q8" i="150"/>
  <c r="Q8" i="152"/>
  <c r="M8" i="152"/>
  <c r="E8" i="148"/>
  <c r="AD17" i="172"/>
  <c r="AI17" i="172"/>
  <c r="T8" i="148"/>
  <c r="Z8" i="148" s="1"/>
  <c r="AC8" i="150"/>
  <c r="AI11" i="168"/>
  <c r="AD11" i="144"/>
  <c r="AI11" i="144"/>
  <c r="AB20" i="144"/>
  <c r="I24" i="150"/>
  <c r="AD17" i="143"/>
  <c r="AI17" i="143"/>
  <c r="AD11" i="147"/>
  <c r="AB16" i="147"/>
  <c r="AI11" i="147"/>
  <c r="L8" i="152"/>
  <c r="L20" i="152" s="1"/>
  <c r="AI7" i="143"/>
  <c r="AD7" i="143"/>
  <c r="Y8" i="150"/>
  <c r="Y26" i="150" s="1"/>
  <c r="P12" i="168"/>
  <c r="Y28" i="143"/>
  <c r="T23" i="158"/>
  <c r="T25" i="158" s="1"/>
  <c r="M18" i="149"/>
  <c r="M20" i="149" s="1"/>
  <c r="I9" i="164"/>
  <c r="M10" i="172"/>
  <c r="L10" i="172"/>
  <c r="X10" i="172"/>
  <c r="I8" i="147"/>
  <c r="L20" i="144"/>
  <c r="AB9" i="164"/>
  <c r="AI6" i="164"/>
  <c r="AD6" i="164"/>
  <c r="P27" i="148"/>
  <c r="D8" i="148"/>
  <c r="D28" i="143"/>
  <c r="I28" i="167"/>
  <c r="H12" i="168"/>
  <c r="L8" i="178"/>
  <c r="I8" i="152"/>
  <c r="I20" i="152" s="1"/>
  <c r="I10" i="172"/>
  <c r="AD22" i="172"/>
  <c r="AI22" i="172"/>
  <c r="D8" i="151"/>
  <c r="D18" i="151" s="1"/>
  <c r="E20" i="151" s="1"/>
  <c r="AD15" i="163"/>
  <c r="AI15" i="163"/>
  <c r="D8" i="152"/>
  <c r="D20" i="152"/>
  <c r="E22" i="152" s="1"/>
  <c r="P8" i="152"/>
  <c r="Y10" i="172"/>
  <c r="E12" i="168"/>
  <c r="E14" i="168"/>
  <c r="M8" i="148"/>
  <c r="E10" i="143"/>
  <c r="T20" i="144"/>
  <c r="AC20" i="144"/>
  <c r="AC22" i="144" s="1"/>
  <c r="AC24" i="144" s="1"/>
  <c r="U20" i="144"/>
  <c r="AD21" i="148"/>
  <c r="AI21" i="148"/>
  <c r="H24" i="150"/>
  <c r="L27" i="148"/>
  <c r="Q8" i="178"/>
  <c r="P8" i="147"/>
  <c r="E27" i="148"/>
  <c r="E29" i="148" s="1"/>
  <c r="Y12" i="168"/>
  <c r="P10" i="172"/>
  <c r="AD22" i="148"/>
  <c r="AI22" i="148"/>
  <c r="AI17" i="145"/>
  <c r="AD17" i="145"/>
  <c r="X18" i="152"/>
  <c r="I16" i="151"/>
  <c r="D23" i="158"/>
  <c r="D25" i="158" s="1"/>
  <c r="AD15" i="167"/>
  <c r="AI15" i="167"/>
  <c r="T21" i="180"/>
  <c r="AD23" i="167"/>
  <c r="AI23" i="167"/>
  <c r="AI7" i="152"/>
  <c r="AD7" i="152"/>
  <c r="AD15" i="172"/>
  <c r="AI15" i="172"/>
  <c r="T18" i="152"/>
  <c r="H16" i="153"/>
  <c r="I16" i="153"/>
  <c r="AD15" i="152"/>
  <c r="AI15" i="152"/>
  <c r="I8" i="151"/>
  <c r="I18" i="151" s="1"/>
  <c r="AD16" i="145"/>
  <c r="AI16" i="145"/>
  <c r="AI27" i="167"/>
  <c r="AD27" i="167"/>
  <c r="AD16" i="152"/>
  <c r="AI16" i="152"/>
  <c r="AI26" i="143"/>
  <c r="AD26" i="143"/>
  <c r="AD15" i="144"/>
  <c r="AI15" i="144"/>
  <c r="AD13" i="153"/>
  <c r="AI13" i="153"/>
  <c r="U24" i="150"/>
  <c r="Y8" i="178"/>
  <c r="U12" i="177"/>
  <c r="U14" i="177" s="1"/>
  <c r="T10" i="172"/>
  <c r="M23" i="158"/>
  <c r="M25" i="158" s="1"/>
  <c r="Q42" i="157"/>
  <c r="U28" i="143"/>
  <c r="AI18" i="150"/>
  <c r="AD18" i="150"/>
  <c r="AI12" i="145"/>
  <c r="AD12" i="145"/>
  <c r="L28" i="167"/>
  <c r="Q16" i="151"/>
  <c r="Q13" i="178"/>
  <c r="Q15" i="178" s="1"/>
  <c r="U16" i="153"/>
  <c r="AI11" i="146"/>
  <c r="AB18" i="152"/>
  <c r="AD18" i="152" s="1"/>
  <c r="AD11" i="152"/>
  <c r="AI11" i="152"/>
  <c r="AD25" i="143"/>
  <c r="AI25" i="143"/>
  <c r="AD7" i="144"/>
  <c r="AI7" i="144"/>
  <c r="H8" i="147"/>
  <c r="H18" i="147" s="1"/>
  <c r="I20" i="147" s="1"/>
  <c r="T12" i="168"/>
  <c r="P8" i="148"/>
  <c r="P29" i="148" s="1"/>
  <c r="Y18" i="149"/>
  <c r="Y8" i="152"/>
  <c r="Y20" i="152" s="1"/>
  <c r="Y22" i="152" s="1"/>
  <c r="U9" i="164"/>
  <c r="AD14" i="148"/>
  <c r="AI14" i="148"/>
  <c r="U9" i="167"/>
  <c r="AI14" i="145"/>
  <c r="AD14" i="145"/>
  <c r="AI16" i="148"/>
  <c r="AD16" i="148"/>
  <c r="X7" i="153"/>
  <c r="D27" i="148"/>
  <c r="U8" i="148"/>
  <c r="U29" i="148" s="1"/>
  <c r="AI15" i="143"/>
  <c r="AD15" i="143"/>
  <c r="Q9" i="167"/>
  <c r="D16" i="153"/>
  <c r="D18" i="153" s="1"/>
  <c r="AD14" i="143"/>
  <c r="AI14" i="143"/>
  <c r="L8" i="147"/>
  <c r="P28" i="143"/>
  <c r="AI17" i="158"/>
  <c r="M8" i="150"/>
  <c r="AI18" i="144"/>
  <c r="AD18" i="144"/>
  <c r="T9" i="164"/>
  <c r="I10" i="143"/>
  <c r="U8" i="147"/>
  <c r="L7" i="153"/>
  <c r="AB11" i="166"/>
  <c r="AB13" i="166" s="1"/>
  <c r="AI10" i="166"/>
  <c r="E28" i="143"/>
  <c r="T28" i="167"/>
  <c r="X27" i="148"/>
  <c r="AC8" i="152"/>
  <c r="AD19" i="144"/>
  <c r="AI19" i="144"/>
  <c r="H9" i="164"/>
  <c r="D8" i="178"/>
  <c r="H8" i="151"/>
  <c r="AD6" i="167"/>
  <c r="AB9" i="167"/>
  <c r="AI6" i="167"/>
  <c r="H9" i="149"/>
  <c r="T9" i="149"/>
  <c r="X16" i="147"/>
  <c r="AI22" i="158"/>
  <c r="AI21" i="172"/>
  <c r="AD21" i="172"/>
  <c r="T7" i="153"/>
  <c r="Z7" i="153" s="1"/>
  <c r="U27" i="148"/>
  <c r="Y8" i="151"/>
  <c r="I20" i="144"/>
  <c r="P8" i="150"/>
  <c r="AI23" i="148"/>
  <c r="AD23" i="148"/>
  <c r="X23" i="145"/>
  <c r="Z23" i="145" s="1"/>
  <c r="AC8" i="178"/>
  <c r="I8" i="148"/>
  <c r="AI11" i="145"/>
  <c r="AB23" i="145"/>
  <c r="AD11" i="145"/>
  <c r="T23" i="145"/>
  <c r="P13" i="146"/>
  <c r="P15" i="146" s="1"/>
  <c r="T18" i="149"/>
  <c r="T20" i="149" s="1"/>
  <c r="AI12" i="156"/>
  <c r="E23" i="145"/>
  <c r="Y16" i="153"/>
  <c r="L19" i="163"/>
  <c r="AC28" i="143"/>
  <c r="AC30" i="143" s="1"/>
  <c r="P23" i="158"/>
  <c r="P25" i="158" s="1"/>
  <c r="Q7" i="153"/>
  <c r="P8" i="151"/>
  <c r="P18" i="151" s="1"/>
  <c r="Q20" i="151" s="1"/>
  <c r="E8" i="152"/>
  <c r="D12" i="168"/>
  <c r="D14" i="168"/>
  <c r="AI13" i="156"/>
  <c r="AD24" i="148"/>
  <c r="AI24" i="148"/>
  <c r="AB8" i="147"/>
  <c r="AI8" i="147" s="1"/>
  <c r="AI6" i="147"/>
  <c r="AD6" i="147"/>
  <c r="T8" i="150"/>
  <c r="T26" i="150" s="1"/>
  <c r="E9" i="167"/>
  <c r="E30" i="167" s="1"/>
  <c r="U8" i="151"/>
  <c r="U18" i="151"/>
  <c r="T16" i="151"/>
  <c r="Y23" i="145"/>
  <c r="X8" i="151"/>
  <c r="L10" i="143"/>
  <c r="L30" i="143" s="1"/>
  <c r="AD23" i="143"/>
  <c r="AI23" i="143"/>
  <c r="D8" i="150"/>
  <c r="L8" i="151"/>
  <c r="L28" i="143"/>
  <c r="M8" i="151"/>
  <c r="M18" i="151" s="1"/>
  <c r="M28" i="143"/>
  <c r="AI17" i="163"/>
  <c r="AC7" i="153"/>
  <c r="U23" i="145"/>
  <c r="P18" i="149"/>
  <c r="Q28" i="143"/>
  <c r="U42" i="157"/>
  <c r="AI14" i="163"/>
  <c r="AD14" i="163"/>
  <c r="AI10" i="158"/>
  <c r="AB23" i="158"/>
  <c r="X28" i="143"/>
  <c r="X30" i="143" s="1"/>
  <c r="X8" i="152"/>
  <c r="H7" i="153"/>
  <c r="Y8" i="148"/>
  <c r="D28" i="167"/>
  <c r="L8" i="150"/>
  <c r="U9" i="149"/>
  <c r="H23" i="158"/>
  <c r="H25" i="158" s="1"/>
  <c r="E8" i="151"/>
  <c r="E18" i="151" s="1"/>
  <c r="AI19" i="150"/>
  <c r="AD19" i="150"/>
  <c r="AD20" i="172"/>
  <c r="AI20" i="172"/>
  <c r="AC16" i="147"/>
  <c r="I28" i="143"/>
  <c r="I30" i="143" s="1"/>
  <c r="M13" i="146"/>
  <c r="M15" i="146"/>
  <c r="L16" i="147"/>
  <c r="T42" i="157"/>
  <c r="D24" i="150"/>
  <c r="AC12" i="177"/>
  <c r="AC14" i="177" s="1"/>
  <c r="M19" i="163"/>
  <c r="AC42" i="157"/>
  <c r="AC44" i="157" s="1"/>
  <c r="Q13" i="146"/>
  <c r="Q15" i="146" s="1"/>
  <c r="AI18" i="145"/>
  <c r="AD18" i="145"/>
  <c r="X24" i="150"/>
  <c r="Z24" i="150" s="1"/>
  <c r="X15" i="174"/>
  <c r="AD9" i="143"/>
  <c r="AI9" i="143"/>
  <c r="AI19" i="145"/>
  <c r="AD19" i="145"/>
  <c r="Y24" i="150"/>
  <c r="AD17" i="148"/>
  <c r="AI17" i="148"/>
  <c r="AC9" i="167"/>
  <c r="M7" i="153"/>
  <c r="D14" i="156"/>
  <c r="D16" i="156" s="1"/>
  <c r="U18" i="152"/>
  <c r="T27" i="148"/>
  <c r="H10" i="172"/>
  <c r="E10" i="172"/>
  <c r="Y10" i="143"/>
  <c r="AC8" i="151"/>
  <c r="P9" i="149"/>
  <c r="D22" i="144"/>
  <c r="H8" i="148"/>
  <c r="H29" i="148" s="1"/>
  <c r="I31" i="148" s="1"/>
  <c r="AC8" i="148"/>
  <c r="AC29" i="148" s="1"/>
  <c r="T8" i="178"/>
  <c r="H8" i="178"/>
  <c r="AI9" i="172"/>
  <c r="AD13" i="172"/>
  <c r="AI13" i="172"/>
  <c r="AI18" i="172"/>
  <c r="AD18" i="172"/>
  <c r="E9" i="164"/>
  <c r="Q9" i="149"/>
  <c r="AI11" i="158"/>
  <c r="E20" i="144"/>
  <c r="E22" i="144" s="1"/>
  <c r="E24" i="144" s="1"/>
  <c r="AC18" i="152"/>
  <c r="I27" i="148"/>
  <c r="Q14" i="156"/>
  <c r="Q16" i="156" s="1"/>
  <c r="I21" i="180"/>
  <c r="I23" i="180" s="1"/>
  <c r="L13" i="146"/>
  <c r="L15" i="146" s="1"/>
  <c r="E16" i="151"/>
  <c r="AI12" i="180"/>
  <c r="P9" i="167"/>
  <c r="R9" i="167" s="1"/>
  <c r="D9" i="167"/>
  <c r="Y20" i="144"/>
  <c r="Y22" i="144" s="1"/>
  <c r="M23" i="145"/>
  <c r="AD22" i="143"/>
  <c r="AI22" i="143"/>
  <c r="D13" i="146"/>
  <c r="D15" i="146" s="1"/>
  <c r="U28" i="167"/>
  <c r="AD14" i="152"/>
  <c r="AI19" i="167"/>
  <c r="AD19" i="167"/>
  <c r="AI22" i="145"/>
  <c r="AD22" i="145"/>
  <c r="AI8" i="143"/>
  <c r="AD8" i="143"/>
  <c r="Y28" i="167"/>
  <c r="AI26" i="167"/>
  <c r="AD26" i="167"/>
  <c r="L14" i="156"/>
  <c r="L16" i="156" s="1"/>
  <c r="Y14" i="156"/>
  <c r="Y16" i="156" s="1"/>
  <c r="AD13" i="167"/>
  <c r="AI13" i="167"/>
  <c r="E24" i="150"/>
  <c r="E26" i="150" s="1"/>
  <c r="P18" i="152"/>
  <c r="U11" i="166"/>
  <c r="U13" i="166" s="1"/>
  <c r="U15" i="166" s="1"/>
  <c r="AD17" i="167"/>
  <c r="AI17" i="167"/>
  <c r="AD18" i="143"/>
  <c r="AI18" i="143"/>
  <c r="L23" i="158"/>
  <c r="L25" i="158" s="1"/>
  <c r="M27" i="158" s="1"/>
  <c r="AD13" i="152"/>
  <c r="AC10" i="172"/>
  <c r="X18" i="149"/>
  <c r="M9" i="167"/>
  <c r="Q10" i="172"/>
  <c r="AI20" i="150"/>
  <c r="AD20" i="150"/>
  <c r="AC11" i="166"/>
  <c r="AC13" i="166" s="1"/>
  <c r="AI12" i="146"/>
  <c r="AI15" i="145"/>
  <c r="AD15" i="145"/>
  <c r="AI10" i="168"/>
  <c r="AB12" i="168"/>
  <c r="AD12" i="168" s="1"/>
  <c r="AD10" i="168"/>
  <c r="AC18" i="149"/>
  <c r="AD15" i="153"/>
  <c r="AI15" i="153"/>
  <c r="U16" i="147"/>
  <c r="Y19" i="163"/>
  <c r="Y21" i="163" s="1"/>
  <c r="Q24" i="150"/>
  <c r="AD14" i="164"/>
  <c r="AI14" i="164"/>
  <c r="T28" i="143"/>
  <c r="AD12" i="167"/>
  <c r="AB28" i="167"/>
  <c r="AI28" i="167" s="1"/>
  <c r="AI12" i="167"/>
  <c r="T14" i="156"/>
  <c r="T16" i="156" s="1"/>
  <c r="AC16" i="156"/>
  <c r="X28" i="167"/>
  <c r="AD12" i="151"/>
  <c r="AI12" i="151"/>
  <c r="AC28" i="167"/>
  <c r="E16" i="147"/>
  <c r="E28" i="167"/>
  <c r="AI14" i="147"/>
  <c r="AD14" i="147"/>
  <c r="H13" i="146"/>
  <c r="H15" i="146" s="1"/>
  <c r="M11" i="166"/>
  <c r="M13" i="166" s="1"/>
  <c r="AD18" i="167"/>
  <c r="AI18" i="167"/>
  <c r="AI13" i="158"/>
  <c r="Q28" i="167"/>
  <c r="AC14" i="185"/>
  <c r="AC16" i="185" s="1"/>
  <c r="E21" i="180"/>
  <c r="E23" i="180" s="1"/>
  <c r="X12" i="177"/>
  <c r="AD17" i="152"/>
  <c r="AI17" i="152"/>
  <c r="AI24" i="167"/>
  <c r="AD24" i="167"/>
  <c r="AI16" i="163"/>
  <c r="AD16" i="163"/>
  <c r="M16" i="151"/>
  <c r="AI21" i="150"/>
  <c r="AD21" i="150"/>
  <c r="Q11" i="166"/>
  <c r="Q13" i="166" s="1"/>
  <c r="L9" i="167"/>
  <c r="AI24" i="143"/>
  <c r="AD24" i="143"/>
  <c r="Y16" i="151"/>
  <c r="Y18" i="151" s="1"/>
  <c r="AI18" i="181"/>
  <c r="AI14" i="180"/>
  <c r="I11" i="166"/>
  <c r="I13" i="166" s="1"/>
  <c r="E8" i="163"/>
  <c r="E21" i="163" s="1"/>
  <c r="AI21" i="145"/>
  <c r="AD21" i="145"/>
  <c r="T11" i="166"/>
  <c r="H14" i="156"/>
  <c r="H16" i="156" s="1"/>
  <c r="L18" i="149"/>
  <c r="Y7" i="153"/>
  <c r="Y18" i="153" s="1"/>
  <c r="E13" i="146"/>
  <c r="E15" i="146"/>
  <c r="E17" i="146" s="1"/>
  <c r="P19" i="163"/>
  <c r="E18" i="149"/>
  <c r="AI18" i="158"/>
  <c r="T9" i="167"/>
  <c r="Q8" i="151"/>
  <c r="Q18" i="151"/>
  <c r="Y9" i="167"/>
  <c r="Y30" i="167"/>
  <c r="M20" i="144"/>
  <c r="AI19" i="158"/>
  <c r="X9" i="149"/>
  <c r="U14" i="156"/>
  <c r="U16" i="156" s="1"/>
  <c r="I19" i="163"/>
  <c r="AI7" i="157"/>
  <c r="I23" i="145"/>
  <c r="D8" i="147"/>
  <c r="D18" i="147" s="1"/>
  <c r="U23" i="158"/>
  <c r="U25" i="158" s="1"/>
  <c r="Q23" i="158"/>
  <c r="Q25" i="158" s="1"/>
  <c r="M42" i="157"/>
  <c r="E16" i="153"/>
  <c r="AD27" i="143"/>
  <c r="AI27" i="143"/>
  <c r="AD12" i="150"/>
  <c r="AI12" i="150"/>
  <c r="AD12" i="153"/>
  <c r="AI12" i="153"/>
  <c r="T13" i="146"/>
  <c r="AI13" i="164"/>
  <c r="AD13" i="164"/>
  <c r="AI22" i="150"/>
  <c r="AD22" i="150"/>
  <c r="P14" i="156"/>
  <c r="P16" i="156" s="1"/>
  <c r="H16" i="147"/>
  <c r="AD15" i="148"/>
  <c r="AI15" i="148"/>
  <c r="AD11" i="151"/>
  <c r="AI11" i="151"/>
  <c r="AB16" i="151"/>
  <c r="I23" i="158"/>
  <c r="I25" i="158" s="1"/>
  <c r="T16" i="153"/>
  <c r="Z16" i="153" s="1"/>
  <c r="AI6" i="150"/>
  <c r="AD6" i="150"/>
  <c r="AB8" i="150"/>
  <c r="P10" i="143"/>
  <c r="P30" i="143" s="1"/>
  <c r="U12" i="168"/>
  <c r="I9" i="149"/>
  <c r="D16" i="151"/>
  <c r="AI15" i="158"/>
  <c r="AI12" i="152"/>
  <c r="AD12" i="152"/>
  <c r="AD23" i="150"/>
  <c r="AI23" i="150"/>
  <c r="AI14" i="153"/>
  <c r="AD14" i="153"/>
  <c r="H16" i="151"/>
  <c r="P42" i="157"/>
  <c r="AI21" i="143"/>
  <c r="AD21" i="143"/>
  <c r="E14" i="156"/>
  <c r="E16" i="156"/>
  <c r="X9" i="167"/>
  <c r="I16" i="147"/>
  <c r="H9" i="167"/>
  <c r="Q16" i="153"/>
  <c r="Q18" i="153" s="1"/>
  <c r="AC16" i="153"/>
  <c r="D16" i="147"/>
  <c r="AI17" i="150"/>
  <c r="AD17" i="150"/>
  <c r="M16" i="147"/>
  <c r="L16" i="153"/>
  <c r="M18" i="152"/>
  <c r="AD13" i="143"/>
  <c r="AB28" i="143"/>
  <c r="X42" i="157"/>
  <c r="H18" i="152"/>
  <c r="T16" i="147"/>
  <c r="D42" i="157"/>
  <c r="P24" i="150"/>
  <c r="H11" i="166"/>
  <c r="AC23" i="145"/>
  <c r="U8" i="150"/>
  <c r="U26" i="150"/>
  <c r="AC8" i="147"/>
  <c r="AC18" i="147" s="1"/>
  <c r="H20" i="144"/>
  <c r="H22" i="144" s="1"/>
  <c r="H8" i="152"/>
  <c r="AC24" i="150"/>
  <c r="AC26" i="150" s="1"/>
  <c r="AI25" i="167"/>
  <c r="AD25" i="167"/>
  <c r="E42" i="157"/>
  <c r="I9" i="167"/>
  <c r="I30" i="167" s="1"/>
  <c r="P28" i="167"/>
  <c r="H23" i="145"/>
  <c r="H28" i="143"/>
  <c r="M16" i="153"/>
  <c r="AI14" i="150"/>
  <c r="AD14" i="150"/>
  <c r="AI13" i="147"/>
  <c r="AD13" i="147"/>
  <c r="Y11" i="166"/>
  <c r="Y13" i="166"/>
  <c r="AI7" i="167"/>
  <c r="AD7" i="167"/>
  <c r="AD12" i="178"/>
  <c r="AI12" i="178"/>
  <c r="P16" i="147"/>
  <c r="T15" i="174"/>
  <c r="E11" i="166"/>
  <c r="E13" i="166"/>
  <c r="M24" i="150"/>
  <c r="E15" i="174"/>
  <c r="E17" i="174" s="1"/>
  <c r="D11" i="166"/>
  <c r="D13" i="166"/>
  <c r="P13" i="178"/>
  <c r="AI11" i="153"/>
  <c r="AD11" i="153"/>
  <c r="L11" i="166"/>
  <c r="H15" i="174"/>
  <c r="AD11" i="178"/>
  <c r="AI11" i="178"/>
  <c r="AB13" i="178"/>
  <c r="L12" i="177"/>
  <c r="L14" i="177"/>
  <c r="D12" i="177"/>
  <c r="D14" i="177"/>
  <c r="D21" i="180"/>
  <c r="D23" i="180" s="1"/>
  <c r="I42" i="157"/>
  <c r="AI13" i="150"/>
  <c r="AD13" i="150"/>
  <c r="L23" i="145"/>
  <c r="AD12" i="147"/>
  <c r="AI12" i="147"/>
  <c r="D19" i="163"/>
  <c r="AI10" i="146"/>
  <c r="AB13" i="146"/>
  <c r="AI15" i="180"/>
  <c r="AD8" i="164"/>
  <c r="AI8" i="164"/>
  <c r="AI16" i="164"/>
  <c r="AD16" i="164"/>
  <c r="H24" i="184"/>
  <c r="H26" i="184" s="1"/>
  <c r="L15" i="174"/>
  <c r="Q8" i="147"/>
  <c r="AB42" i="157"/>
  <c r="AB44" i="157" s="1"/>
  <c r="AI16" i="144"/>
  <c r="AD16" i="144"/>
  <c r="D23" i="145"/>
  <c r="Y9" i="164"/>
  <c r="Q10" i="143"/>
  <c r="Q30" i="143" s="1"/>
  <c r="Y27" i="148"/>
  <c r="X14" i="156"/>
  <c r="AD13" i="145"/>
  <c r="AI13" i="145"/>
  <c r="M27" i="148"/>
  <c r="AI18" i="163"/>
  <c r="AD18" i="163"/>
  <c r="X13" i="146"/>
  <c r="X19" i="163"/>
  <c r="X16" i="151"/>
  <c r="Z16" i="151" s="1"/>
  <c r="L8" i="148"/>
  <c r="L29" i="148" s="1"/>
  <c r="U10" i="143"/>
  <c r="U30" i="143" s="1"/>
  <c r="Y9" i="149"/>
  <c r="Q18" i="152"/>
  <c r="Y42" i="157"/>
  <c r="Q23" i="145"/>
  <c r="H12" i="177"/>
  <c r="H14" i="177"/>
  <c r="I13" i="146"/>
  <c r="I15" i="146"/>
  <c r="L16" i="151"/>
  <c r="AC13" i="146"/>
  <c r="AC15" i="146" s="1"/>
  <c r="AD10" i="153"/>
  <c r="AI10" i="153"/>
  <c r="AB16" i="153"/>
  <c r="AI16" i="153" s="1"/>
  <c r="Y13" i="178"/>
  <c r="T12" i="177"/>
  <c r="T14" i="177" s="1"/>
  <c r="D15" i="174"/>
  <c r="D17" i="174" s="1"/>
  <c r="D30" i="174" s="1"/>
  <c r="M12" i="177"/>
  <c r="M14" i="177" s="1"/>
  <c r="H19" i="163"/>
  <c r="Q19" i="163"/>
  <c r="AC15" i="174"/>
  <c r="AC17" i="174" s="1"/>
  <c r="Q8" i="145"/>
  <c r="U15" i="174"/>
  <c r="U17" i="174" s="1"/>
  <c r="AC20" i="181"/>
  <c r="AC22" i="181" s="1"/>
  <c r="AC19" i="163"/>
  <c r="AC21" i="163" s="1"/>
  <c r="P16" i="151"/>
  <c r="I18" i="152"/>
  <c r="Q18" i="149"/>
  <c r="P23" i="145"/>
  <c r="P25" i="145" s="1"/>
  <c r="U19" i="163"/>
  <c r="U18" i="149"/>
  <c r="M28" i="167"/>
  <c r="AI18" i="184"/>
  <c r="AD18" i="184"/>
  <c r="I15" i="174"/>
  <c r="I17" i="174" s="1"/>
  <c r="AI19" i="181"/>
  <c r="AD11" i="184"/>
  <c r="AI11" i="184"/>
  <c r="AI7" i="178"/>
  <c r="AD7" i="178"/>
  <c r="AD10" i="184"/>
  <c r="AG42" i="157"/>
  <c r="AG44" i="157" s="1"/>
  <c r="AP16" i="151"/>
  <c r="Q21" i="180"/>
  <c r="Q23" i="180" s="1"/>
  <c r="AI16" i="180"/>
  <c r="AC8" i="163"/>
  <c r="H21" i="180"/>
  <c r="AI13" i="180"/>
  <c r="M20" i="181"/>
  <c r="M22" i="181" s="1"/>
  <c r="I13" i="178"/>
  <c r="I15" i="178" s="1"/>
  <c r="T13" i="178"/>
  <c r="V13" i="178" s="1"/>
  <c r="Y24" i="184"/>
  <c r="Y26" i="184" s="1"/>
  <c r="E13" i="178"/>
  <c r="AI11" i="180"/>
  <c r="Y16" i="147"/>
  <c r="D13" i="178"/>
  <c r="D15" i="178" s="1"/>
  <c r="M13" i="178"/>
  <c r="E12" i="177"/>
  <c r="E14" i="177" s="1"/>
  <c r="Y12" i="177"/>
  <c r="Y14" i="177" s="1"/>
  <c r="X23" i="158"/>
  <c r="X11" i="166"/>
  <c r="L24" i="150"/>
  <c r="L26" i="150" s="1"/>
  <c r="Y21" i="180"/>
  <c r="Y23" i="180" s="1"/>
  <c r="T14" i="185"/>
  <c r="T16" i="185" s="1"/>
  <c r="AI22" i="167"/>
  <c r="AD22" i="167"/>
  <c r="L13" i="178"/>
  <c r="R13" i="178" s="1"/>
  <c r="AB8" i="145"/>
  <c r="AD6" i="145"/>
  <c r="AI6" i="145"/>
  <c r="AI23" i="157"/>
  <c r="T19" i="163"/>
  <c r="Z19" i="163" s="1"/>
  <c r="E23" i="158"/>
  <c r="E25" i="158" s="1"/>
  <c r="I18" i="149"/>
  <c r="X16" i="153"/>
  <c r="AC16" i="151"/>
  <c r="Y13" i="146"/>
  <c r="Y15" i="146" s="1"/>
  <c r="AB24" i="150"/>
  <c r="AI24" i="150" s="1"/>
  <c r="AI11" i="150"/>
  <c r="AD11" i="150"/>
  <c r="AC23" i="158"/>
  <c r="AC25" i="158" s="1"/>
  <c r="AI14" i="181"/>
  <c r="P15" i="174"/>
  <c r="AI18" i="180"/>
  <c r="I20" i="181"/>
  <c r="I22" i="181" s="1"/>
  <c r="AC26" i="184"/>
  <c r="M21" i="180"/>
  <c r="M23" i="180" s="1"/>
  <c r="P12" i="177"/>
  <c r="P14" i="177" s="1"/>
  <c r="D8" i="163"/>
  <c r="AI15" i="147"/>
  <c r="AD15" i="147"/>
  <c r="AI10" i="181"/>
  <c r="AB20" i="181"/>
  <c r="M14" i="185"/>
  <c r="M16" i="185" s="1"/>
  <c r="L24" i="184"/>
  <c r="L26" i="184" s="1"/>
  <c r="X24" i="184"/>
  <c r="P24" i="184"/>
  <c r="P26" i="184" s="1"/>
  <c r="T24" i="184"/>
  <c r="T26" i="184" s="1"/>
  <c r="AI12" i="181"/>
  <c r="Q14" i="185"/>
  <c r="Q16" i="185" s="1"/>
  <c r="AI17" i="181"/>
  <c r="I12" i="177"/>
  <c r="I14" i="177"/>
  <c r="Y15" i="174"/>
  <c r="Y17" i="174" s="1"/>
  <c r="H13" i="178"/>
  <c r="AD16" i="167"/>
  <c r="AI16" i="167"/>
  <c r="AB12" i="177"/>
  <c r="AB14" i="177" s="1"/>
  <c r="AI12" i="177"/>
  <c r="AI11" i="177"/>
  <c r="M24" i="184"/>
  <c r="M26" i="184" s="1"/>
  <c r="L8" i="145"/>
  <c r="L25" i="145"/>
  <c r="Q12" i="177"/>
  <c r="Q14" i="177"/>
  <c r="Q15" i="174"/>
  <c r="Q17" i="174" s="1"/>
  <c r="E24" i="184"/>
  <c r="E26" i="184" s="1"/>
  <c r="U21" i="180"/>
  <c r="U23" i="180" s="1"/>
  <c r="X13" i="178"/>
  <c r="Z13" i="178" s="1"/>
  <c r="L20" i="181"/>
  <c r="H20" i="181"/>
  <c r="E8" i="145"/>
  <c r="E25" i="145"/>
  <c r="I8" i="145"/>
  <c r="I25" i="145"/>
  <c r="Q16" i="147"/>
  <c r="AI17" i="180"/>
  <c r="AC21" i="180"/>
  <c r="AC23" i="180" s="1"/>
  <c r="AC13" i="178"/>
  <c r="P16" i="153"/>
  <c r="H28" i="167"/>
  <c r="X21" i="180"/>
  <c r="E19" i="163"/>
  <c r="Q20" i="181"/>
  <c r="Q22" i="181" s="1"/>
  <c r="P21" i="180"/>
  <c r="X20" i="181"/>
  <c r="X22" i="181"/>
  <c r="U13" i="178"/>
  <c r="AI14" i="167"/>
  <c r="AD14" i="167"/>
  <c r="AI13" i="181"/>
  <c r="AD19" i="184"/>
  <c r="AI19" i="184"/>
  <c r="AB21" i="180"/>
  <c r="AI20" i="167"/>
  <c r="AD20" i="167"/>
  <c r="M15" i="174"/>
  <c r="M17" i="174" s="1"/>
  <c r="AB19" i="163"/>
  <c r="AD11" i="163"/>
  <c r="AI11" i="163"/>
  <c r="AI20" i="180"/>
  <c r="L21" i="180"/>
  <c r="P11" i="166"/>
  <c r="L14" i="185"/>
  <c r="L16" i="185"/>
  <c r="M18" i="185" s="1"/>
  <c r="E14" i="185"/>
  <c r="E16" i="185" s="1"/>
  <c r="U24" i="184"/>
  <c r="U26" i="184" s="1"/>
  <c r="AD13" i="184"/>
  <c r="AI13" i="184"/>
  <c r="AD15" i="184"/>
  <c r="AI15" i="184"/>
  <c r="AD14" i="184"/>
  <c r="AI14" i="184"/>
  <c r="Q24" i="184"/>
  <c r="Q26" i="184" s="1"/>
  <c r="I24" i="184"/>
  <c r="I26" i="184" s="1"/>
  <c r="AI11" i="181"/>
  <c r="U20" i="181"/>
  <c r="U22" i="181" s="1"/>
  <c r="D20" i="181"/>
  <c r="D22" i="181" s="1"/>
  <c r="T20" i="181"/>
  <c r="T22" i="181" s="1"/>
  <c r="U24" i="181" s="1"/>
  <c r="T8" i="145"/>
  <c r="T25" i="145" s="1"/>
  <c r="P8" i="163"/>
  <c r="P21" i="163" s="1"/>
  <c r="AD25" i="148"/>
  <c r="AI25" i="148"/>
  <c r="X8" i="145"/>
  <c r="AI13" i="152"/>
  <c r="AC8" i="145"/>
  <c r="Y8" i="145"/>
  <c r="Y25" i="145" s="1"/>
  <c r="U8" i="145"/>
  <c r="P20" i="181"/>
  <c r="P22" i="181" s="1"/>
  <c r="Q24" i="181" s="1"/>
  <c r="I8" i="163"/>
  <c r="AI6" i="163"/>
  <c r="AB8" i="163"/>
  <c r="AD6" i="163"/>
  <c r="X8" i="163"/>
  <c r="AD8" i="163" s="1"/>
  <c r="Q8" i="163"/>
  <c r="Q21" i="163" s="1"/>
  <c r="P8" i="145"/>
  <c r="M8" i="145"/>
  <c r="M25" i="145"/>
  <c r="I14" i="185"/>
  <c r="I16" i="185"/>
  <c r="H14" i="185"/>
  <c r="H16" i="185"/>
  <c r="I18" i="185" s="1"/>
  <c r="U8" i="163"/>
  <c r="U21" i="163" s="1"/>
  <c r="T8" i="163"/>
  <c r="AI17" i="184"/>
  <c r="AD17" i="184"/>
  <c r="D14" i="185"/>
  <c r="D16" i="185"/>
  <c r="E18" i="185" s="1"/>
  <c r="Y14" i="185"/>
  <c r="Y16" i="185" s="1"/>
  <c r="H8" i="145"/>
  <c r="H25" i="145" s="1"/>
  <c r="I27" i="145" s="1"/>
  <c r="H8" i="163"/>
  <c r="H21" i="163" s="1"/>
  <c r="AI14" i="152"/>
  <c r="AI16" i="184"/>
  <c r="AD16" i="184"/>
  <c r="Y8" i="163"/>
  <c r="M8" i="163"/>
  <c r="M21" i="163"/>
  <c r="E20" i="181"/>
  <c r="E22" i="181" s="1"/>
  <c r="L8" i="163"/>
  <c r="AD12" i="184"/>
  <c r="AI12" i="184"/>
  <c r="P14" i="185"/>
  <c r="P16" i="185" s="1"/>
  <c r="U14" i="185"/>
  <c r="U16" i="185" s="1"/>
  <c r="X14" i="185"/>
  <c r="D8" i="145"/>
  <c r="D25" i="145" s="1"/>
  <c r="D24" i="184"/>
  <c r="D26" i="184" s="1"/>
  <c r="Y20" i="181"/>
  <c r="Y22" i="181" s="1"/>
  <c r="AF42" i="157"/>
  <c r="X21" i="163"/>
  <c r="AI8" i="163"/>
  <c r="AI18" i="152"/>
  <c r="AP18" i="152"/>
  <c r="X23" i="180"/>
  <c r="AI21" i="180"/>
  <c r="L22" i="181"/>
  <c r="AB17" i="174"/>
  <c r="AD12" i="177"/>
  <c r="AI20" i="181"/>
  <c r="AD16" i="153"/>
  <c r="X16" i="156"/>
  <c r="AD24" i="157"/>
  <c r="AI24" i="157"/>
  <c r="T13" i="166"/>
  <c r="AI13" i="146"/>
  <c r="N9" i="167"/>
  <c r="X14" i="177"/>
  <c r="AD28" i="167"/>
  <c r="AB14" i="168"/>
  <c r="AI28" i="143"/>
  <c r="AI8" i="150"/>
  <c r="AI11" i="166"/>
  <c r="AI23" i="158"/>
  <c r="AB25" i="158"/>
  <c r="H14" i="168"/>
  <c r="I16" i="168" s="1"/>
  <c r="L22" i="144"/>
  <c r="AB30" i="143"/>
  <c r="AD10" i="143"/>
  <c r="AI10" i="143"/>
  <c r="AI14" i="156"/>
  <c r="AB16" i="156"/>
  <c r="AC18" i="156" s="1"/>
  <c r="AD20" i="144"/>
  <c r="AI20" i="144"/>
  <c r="AI52" i="159"/>
  <c r="AD8" i="152"/>
  <c r="AI8" i="152"/>
  <c r="AB20" i="152"/>
  <c r="AC22" i="152" s="1"/>
  <c r="AB54" i="159"/>
  <c r="AD9" i="149"/>
  <c r="T22" i="144"/>
  <c r="AI7" i="153"/>
  <c r="AI8" i="144"/>
  <c r="AB22" i="144"/>
  <c r="AD8" i="144"/>
  <c r="AD8" i="148"/>
  <c r="AI8" i="148"/>
  <c r="AD16" i="151"/>
  <c r="Q20" i="149"/>
  <c r="M26" i="150"/>
  <c r="AC18" i="151"/>
  <c r="M18" i="153"/>
  <c r="AC30" i="167"/>
  <c r="U20" i="149"/>
  <c r="Y29" i="148"/>
  <c r="AC18" i="153"/>
  <c r="P18" i="147"/>
  <c r="M29" i="148"/>
  <c r="P20" i="152"/>
  <c r="D29" i="148"/>
  <c r="T29" i="148"/>
  <c r="U20" i="151"/>
  <c r="T20" i="152"/>
  <c r="M18" i="147"/>
  <c r="AP42" i="157"/>
  <c r="AP44" i="157" s="1"/>
  <c r="U22" i="144"/>
  <c r="U24" i="144" s="1"/>
  <c r="I18" i="153"/>
  <c r="M30" i="143"/>
  <c r="M32" i="143" s="1"/>
  <c r="Z8" i="145"/>
  <c r="AD24" i="184"/>
  <c r="AI24" i="184"/>
  <c r="AD24" i="150"/>
  <c r="X13" i="166"/>
  <c r="Z11" i="166"/>
  <c r="Z9" i="149"/>
  <c r="Z24" i="157"/>
  <c r="J11" i="166"/>
  <c r="H13" i="166"/>
  <c r="H30" i="167"/>
  <c r="X18" i="153"/>
  <c r="V12" i="168"/>
  <c r="T14" i="168"/>
  <c r="X17" i="174"/>
  <c r="Z8" i="152"/>
  <c r="X20" i="152"/>
  <c r="X18" i="151"/>
  <c r="AB18" i="147"/>
  <c r="L15" i="178"/>
  <c r="N8" i="178"/>
  <c r="P14" i="168"/>
  <c r="R12" i="168"/>
  <c r="AI9" i="167"/>
  <c r="AI16" i="147"/>
  <c r="P15" i="178"/>
  <c r="R15" i="178" s="1"/>
  <c r="Z10" i="143"/>
  <c r="Z9" i="164"/>
  <c r="AI12" i="168"/>
  <c r="Z8" i="147"/>
  <c r="X54" i="159"/>
  <c r="AD54" i="159" s="1"/>
  <c r="AI8" i="178"/>
  <c r="AI10" i="172"/>
  <c r="X29" i="148"/>
  <c r="Y31" i="148" s="1"/>
  <c r="L14" i="168"/>
  <c r="N52" i="159"/>
  <c r="I16" i="177"/>
  <c r="M30" i="167"/>
  <c r="M22" i="144"/>
  <c r="I20" i="149"/>
  <c r="Y15" i="178"/>
  <c r="H18" i="153"/>
  <c r="I20" i="153" s="1"/>
  <c r="L18" i="151"/>
  <c r="D26" i="150"/>
  <c r="E30" i="143"/>
  <c r="I29" i="148"/>
  <c r="I18" i="147"/>
  <c r="H18" i="151"/>
  <c r="AC20" i="152"/>
  <c r="M20" i="152"/>
  <c r="M22" i="152" s="1"/>
  <c r="Q26" i="150"/>
  <c r="E20" i="149"/>
  <c r="Y18" i="147"/>
  <c r="U15" i="178"/>
  <c r="U17" i="178" s="1"/>
  <c r="U18" i="153"/>
  <c r="E15" i="178"/>
  <c r="J8" i="178"/>
  <c r="T15" i="178"/>
  <c r="Q17" i="146"/>
  <c r="L18" i="147"/>
  <c r="Z18" i="152"/>
  <c r="Z20" i="144"/>
  <c r="Q29" i="148"/>
  <c r="T54" i="159"/>
  <c r="Z27" i="148"/>
  <c r="I22" i="144"/>
  <c r="U20" i="152"/>
  <c r="Z20" i="152"/>
  <c r="V14" i="168"/>
  <c r="AD20" i="152"/>
  <c r="Z22" i="144"/>
  <c r="Y16" i="177"/>
  <c r="AI14" i="177"/>
  <c r="AD16" i="156"/>
  <c r="AC15" i="166"/>
  <c r="I24" i="144" l="1"/>
  <c r="J22" i="144"/>
  <c r="E20" i="147"/>
  <c r="Q27" i="145"/>
  <c r="Z13" i="146"/>
  <c r="X15" i="146"/>
  <c r="AI13" i="178"/>
  <c r="AB15" i="178"/>
  <c r="Z10" i="172"/>
  <c r="Z54" i="159"/>
  <c r="U56" i="159"/>
  <c r="Y15" i="166"/>
  <c r="Z13" i="166"/>
  <c r="R22" i="144"/>
  <c r="N22" i="144"/>
  <c r="AB25" i="145"/>
  <c r="AI8" i="145"/>
  <c r="Z23" i="158"/>
  <c r="X25" i="158"/>
  <c r="AD23" i="145"/>
  <c r="AI23" i="145"/>
  <c r="E15" i="166"/>
  <c r="J13" i="166"/>
  <c r="AC18" i="185"/>
  <c r="X20" i="149"/>
  <c r="AD18" i="149"/>
  <c r="Z30" i="143"/>
  <c r="E32" i="167"/>
  <c r="E16" i="168"/>
  <c r="J14" i="168"/>
  <c r="N11" i="166"/>
  <c r="L13" i="166"/>
  <c r="T18" i="147"/>
  <c r="Z16" i="147"/>
  <c r="T30" i="167"/>
  <c r="V9" i="167"/>
  <c r="H26" i="150"/>
  <c r="AD13" i="178"/>
  <c r="AD13" i="146"/>
  <c r="X16" i="185"/>
  <c r="AD16" i="185" s="1"/>
  <c r="AD14" i="185"/>
  <c r="N14" i="168"/>
  <c r="R14" i="168"/>
  <c r="AI18" i="147"/>
  <c r="AC20" i="147"/>
  <c r="Y27" i="145"/>
  <c r="P13" i="166"/>
  <c r="V11" i="166"/>
  <c r="R11" i="166"/>
  <c r="J20" i="181"/>
  <c r="H22" i="181"/>
  <c r="N22" i="181" s="1"/>
  <c r="M27" i="145"/>
  <c r="J13" i="178"/>
  <c r="AB22" i="181"/>
  <c r="AC24" i="181" s="1"/>
  <c r="AD20" i="181"/>
  <c r="M22" i="149"/>
  <c r="D30" i="143"/>
  <c r="AI18" i="153"/>
  <c r="H54" i="159"/>
  <c r="I56" i="159" s="1"/>
  <c r="M20" i="147"/>
  <c r="R8" i="178"/>
  <c r="Z8" i="151"/>
  <c r="Z8" i="178"/>
  <c r="AB29" i="148"/>
  <c r="V22" i="144"/>
  <c r="AC25" i="145"/>
  <c r="AB21" i="163"/>
  <c r="AD21" i="163" s="1"/>
  <c r="M31" i="148"/>
  <c r="R28" i="167"/>
  <c r="AB26" i="150"/>
  <c r="AC28" i="150" s="1"/>
  <c r="I15" i="166"/>
  <c r="H15" i="178"/>
  <c r="J15" i="178" s="1"/>
  <c r="U28" i="150"/>
  <c r="H20" i="149"/>
  <c r="U18" i="147"/>
  <c r="Q30" i="167"/>
  <c r="AD16" i="147"/>
  <c r="P18" i="153"/>
  <c r="X18" i="147"/>
  <c r="Z18" i="147" s="1"/>
  <c r="E18" i="147"/>
  <c r="J52" i="159"/>
  <c r="AD8" i="178"/>
  <c r="H30" i="143"/>
  <c r="I32" i="143" s="1"/>
  <c r="E18" i="153"/>
  <c r="E20" i="153" s="1"/>
  <c r="AD52" i="159"/>
  <c r="AD10" i="172"/>
  <c r="AI15" i="140"/>
  <c r="J28" i="155"/>
  <c r="R30" i="155"/>
  <c r="R28" i="155"/>
  <c r="I15" i="142"/>
  <c r="U17" i="140"/>
  <c r="W6" i="68"/>
  <c r="Y6" i="68" s="1"/>
  <c r="AH17" i="140"/>
  <c r="W32" i="68"/>
  <c r="AG28" i="173"/>
  <c r="AM28" i="173" s="1"/>
  <c r="P15" i="74"/>
  <c r="P25" i="74"/>
  <c r="AO6" i="164"/>
  <c r="G82" i="83"/>
  <c r="W6" i="84"/>
  <c r="N6" i="84"/>
  <c r="O6" i="84"/>
  <c r="W7" i="84"/>
  <c r="N7" i="84"/>
  <c r="O7" i="84"/>
  <c r="AA7" i="84"/>
  <c r="R7" i="84"/>
  <c r="W9" i="84"/>
  <c r="O9" i="84"/>
  <c r="N24" i="84"/>
  <c r="W11" i="84"/>
  <c r="N11" i="84"/>
  <c r="AA11" i="84"/>
  <c r="R11" i="84"/>
  <c r="O13" i="84"/>
  <c r="W13" i="84"/>
  <c r="N28" i="84"/>
  <c r="N15" i="84"/>
  <c r="O15" i="84"/>
  <c r="W8" i="84"/>
  <c r="N8" i="84"/>
  <c r="AA8" i="84"/>
  <c r="R8" i="84"/>
  <c r="O10" i="84"/>
  <c r="W10" i="84"/>
  <c r="AA10" i="84"/>
  <c r="R10" i="84"/>
  <c r="N12" i="84"/>
  <c r="W12" i="84"/>
  <c r="O12" i="84"/>
  <c r="AA12" i="84"/>
  <c r="R12" i="84"/>
  <c r="O14" i="84"/>
  <c r="N29" i="84"/>
  <c r="N14" i="84"/>
  <c r="N16" i="84"/>
  <c r="N31" i="84"/>
  <c r="AM8" i="144"/>
  <c r="AG22" i="144"/>
  <c r="AH18" i="147"/>
  <c r="I20" i="151"/>
  <c r="J30" i="167"/>
  <c r="AD7" i="153"/>
  <c r="AD8" i="150"/>
  <c r="L21" i="163"/>
  <c r="M23" i="163" s="1"/>
  <c r="T21" i="163"/>
  <c r="J28" i="167"/>
  <c r="Q16" i="177"/>
  <c r="M28" i="150"/>
  <c r="Q20" i="152"/>
  <c r="Q22" i="152" s="1"/>
  <c r="Z14" i="156"/>
  <c r="Q18" i="147"/>
  <c r="Q20" i="147" s="1"/>
  <c r="I32" i="167"/>
  <c r="L18" i="153"/>
  <c r="M20" i="153" s="1"/>
  <c r="Z12" i="177"/>
  <c r="I17" i="146"/>
  <c r="Z28" i="167"/>
  <c r="M18" i="156"/>
  <c r="Q31" i="148"/>
  <c r="J12" i="168"/>
  <c r="AC20" i="149"/>
  <c r="N12" i="168"/>
  <c r="V12" i="175"/>
  <c r="M15" i="142"/>
  <c r="Z41" i="154"/>
  <c r="E17" i="140"/>
  <c r="V22" i="68"/>
  <c r="AH18" i="156"/>
  <c r="I32" i="83"/>
  <c r="J32" i="83" s="1"/>
  <c r="K32" i="83" s="1"/>
  <c r="AO7" i="152" s="1"/>
  <c r="M16" i="168"/>
  <c r="AI9" i="164"/>
  <c r="U31" i="148"/>
  <c r="R52" i="159"/>
  <c r="M20" i="151"/>
  <c r="Y23" i="163"/>
  <c r="E27" i="145"/>
  <c r="U25" i="145"/>
  <c r="X25" i="145"/>
  <c r="Z25" i="145" s="1"/>
  <c r="Q25" i="145"/>
  <c r="M16" i="177"/>
  <c r="L30" i="167"/>
  <c r="D30" i="167"/>
  <c r="M17" i="146"/>
  <c r="AC15" i="178"/>
  <c r="P26" i="150"/>
  <c r="Q28" i="150" s="1"/>
  <c r="AB30" i="167"/>
  <c r="AD27" i="148"/>
  <c r="U30" i="167"/>
  <c r="AD8" i="151"/>
  <c r="AF54" i="159"/>
  <c r="V26" i="68" s="1"/>
  <c r="V52" i="159"/>
  <c r="AD9" i="164"/>
  <c r="Z12" i="168"/>
  <c r="T30" i="143"/>
  <c r="AB30" i="155"/>
  <c r="AD30" i="155" s="1"/>
  <c r="Z21" i="159"/>
  <c r="Z13" i="142"/>
  <c r="E23" i="141"/>
  <c r="AP14" i="170"/>
  <c r="X39" i="68"/>
  <c r="AH18" i="170"/>
  <c r="AQ8" i="169"/>
  <c r="AO55" i="169"/>
  <c r="C25" i="77" s="1"/>
  <c r="AO32" i="181"/>
  <c r="AN40" i="181"/>
  <c r="AH21" i="163"/>
  <c r="X30" i="68" s="1"/>
  <c r="Y30" i="68" s="1"/>
  <c r="AL32" i="155"/>
  <c r="H63" i="76"/>
  <c r="H79" i="76"/>
  <c r="Y44" i="175"/>
  <c r="H21" i="141"/>
  <c r="I23" i="141" s="1"/>
  <c r="T21" i="141"/>
  <c r="U23" i="141" s="1"/>
  <c r="T44" i="175"/>
  <c r="U46" i="175" s="1"/>
  <c r="I44" i="175"/>
  <c r="I46" i="175" s="1"/>
  <c r="Y5" i="68"/>
  <c r="AF18" i="147"/>
  <c r="V13" i="68" s="1"/>
  <c r="AH20" i="153"/>
  <c r="AH13" i="179"/>
  <c r="X50" i="68" s="1"/>
  <c r="F18" i="74"/>
  <c r="F15" i="74"/>
  <c r="T15" i="146"/>
  <c r="U17" i="146" s="1"/>
  <c r="AB15" i="146"/>
  <c r="AI15" i="146" s="1"/>
  <c r="Y14" i="168"/>
  <c r="X26" i="184"/>
  <c r="U6" i="84"/>
  <c r="AH16" i="177"/>
  <c r="AG22" i="181"/>
  <c r="AM30" i="139"/>
  <c r="AF30" i="143"/>
  <c r="V9" i="68" s="1"/>
  <c r="AH14" i="168"/>
  <c r="X36" i="68" s="1"/>
  <c r="X37" i="68" s="1"/>
  <c r="Y37" i="68" s="1"/>
  <c r="AH17" i="174"/>
  <c r="X44" i="68" s="1"/>
  <c r="AH14" i="177"/>
  <c r="X48" i="68" s="1"/>
  <c r="AC75" i="161"/>
  <c r="AL13" i="142"/>
  <c r="AL15" i="142" s="1"/>
  <c r="AM8" i="151"/>
  <c r="AM18" i="152"/>
  <c r="AM8" i="152"/>
  <c r="AO20" i="181"/>
  <c r="AO22" i="181" s="1"/>
  <c r="AP19" i="141"/>
  <c r="AG25" i="145"/>
  <c r="AK21" i="163"/>
  <c r="AB30" i="68" s="1"/>
  <c r="AK30" i="167"/>
  <c r="AB34" i="68" s="1"/>
  <c r="AB16" i="185"/>
  <c r="AP42" i="169"/>
  <c r="AM16" i="151"/>
  <c r="AL14" i="168"/>
  <c r="AL16" i="168" s="1"/>
  <c r="AL22" i="144"/>
  <c r="AM13" i="146"/>
  <c r="AP23" i="158"/>
  <c r="AP25" i="158" s="1"/>
  <c r="P44" i="175"/>
  <c r="AF15" i="178"/>
  <c r="V49" i="68" s="1"/>
  <c r="AF28" i="173"/>
  <c r="V43" i="68" s="1"/>
  <c r="AH15" i="182"/>
  <c r="X54" i="68" s="1"/>
  <c r="AH26" i="172"/>
  <c r="X41" i="68" s="1"/>
  <c r="H128" i="83"/>
  <c r="I28" i="83"/>
  <c r="J28" i="83" s="1"/>
  <c r="AO6" i="150" s="1"/>
  <c r="N18" i="74"/>
  <c r="N15" i="74"/>
  <c r="U13" i="142"/>
  <c r="U15" i="142" s="1"/>
  <c r="AC13" i="142"/>
  <c r="AC15" i="142" s="1"/>
  <c r="AO13" i="166"/>
  <c r="AG33" i="68" s="1"/>
  <c r="U14" i="168"/>
  <c r="U16" i="168" s="1"/>
  <c r="AC14" i="168"/>
  <c r="AC16" i="168" s="1"/>
  <c r="AC28" i="184"/>
  <c r="AG13" i="179"/>
  <c r="AH15" i="179" s="1"/>
  <c r="AH44" i="175"/>
  <c r="X46" i="68" s="1"/>
  <c r="AI28" i="155"/>
  <c r="D20" i="149"/>
  <c r="AH9" i="149"/>
  <c r="AF20" i="149"/>
  <c r="W15" i="68" s="1"/>
  <c r="AL18" i="151"/>
  <c r="AK22" i="181"/>
  <c r="AM8" i="148"/>
  <c r="AL18" i="147"/>
  <c r="AP23" i="145"/>
  <c r="AL15" i="146"/>
  <c r="AH20" i="164"/>
  <c r="X31" i="68" s="1"/>
  <c r="Z22" i="181"/>
  <c r="E16" i="177"/>
  <c r="U22" i="149"/>
  <c r="Z20" i="149"/>
  <c r="E32" i="143"/>
  <c r="E28" i="150"/>
  <c r="Z29" i="148"/>
  <c r="AD29" i="148"/>
  <c r="Y20" i="151"/>
  <c r="X30" i="174"/>
  <c r="I28" i="150"/>
  <c r="E31" i="148"/>
  <c r="AC16" i="177"/>
  <c r="I17" i="178"/>
  <c r="Q20" i="153"/>
  <c r="Y20" i="147"/>
  <c r="AH27" i="145"/>
  <c r="W11" i="68"/>
  <c r="U22" i="152"/>
  <c r="AD22" i="144"/>
  <c r="Y24" i="144"/>
  <c r="R22" i="181"/>
  <c r="Y17" i="146"/>
  <c r="Q17" i="178"/>
  <c r="AD18" i="153"/>
  <c r="AD30" i="143"/>
  <c r="U27" i="145"/>
  <c r="M32" i="167"/>
  <c r="AD13" i="166"/>
  <c r="Y18" i="156"/>
  <c r="AB30" i="174"/>
  <c r="AD17" i="174"/>
  <c r="T44" i="68" s="1"/>
  <c r="Q18" i="185"/>
  <c r="Q23" i="163"/>
  <c r="Z15" i="174"/>
  <c r="AD15" i="174"/>
  <c r="Z8" i="141"/>
  <c r="AD8" i="141"/>
  <c r="Z42" i="175"/>
  <c r="X44" i="175"/>
  <c r="Y13" i="142"/>
  <c r="Y15" i="142" s="1"/>
  <c r="X10" i="68"/>
  <c r="AH24" i="144"/>
  <c r="AB14" i="68"/>
  <c r="AC14" i="68" s="1"/>
  <c r="AD14" i="68" s="1"/>
  <c r="AM29" i="148"/>
  <c r="AC20" i="153"/>
  <c r="V28" i="167"/>
  <c r="T18" i="153"/>
  <c r="U20" i="153" s="1"/>
  <c r="AB18" i="151"/>
  <c r="Z52" i="159"/>
  <c r="X14" i="168"/>
  <c r="X26" i="150"/>
  <c r="AD9" i="167"/>
  <c r="AD8" i="147"/>
  <c r="J9" i="167"/>
  <c r="AD8" i="145"/>
  <c r="AD14" i="156"/>
  <c r="AD23" i="158"/>
  <c r="AD11" i="166"/>
  <c r="P30" i="167"/>
  <c r="AD28" i="143"/>
  <c r="AI16" i="151"/>
  <c r="Z20" i="181"/>
  <c r="Z14" i="185"/>
  <c r="E28" i="184"/>
  <c r="I21" i="163"/>
  <c r="I23" i="163" s="1"/>
  <c r="Z21" i="180"/>
  <c r="D21" i="163"/>
  <c r="E23" i="163" s="1"/>
  <c r="P17" i="174"/>
  <c r="P30" i="174" s="1"/>
  <c r="R15" i="174"/>
  <c r="Y20" i="149"/>
  <c r="Y22" i="149" s="1"/>
  <c r="H20" i="152"/>
  <c r="I22" i="152" s="1"/>
  <c r="Q18" i="156"/>
  <c r="Z18" i="149"/>
  <c r="Y30" i="143"/>
  <c r="AD13" i="142"/>
  <c r="AI30" i="155"/>
  <c r="Z11" i="142"/>
  <c r="Q23" i="141"/>
  <c r="X21" i="141"/>
  <c r="Z21" i="141" s="1"/>
  <c r="Q44" i="175"/>
  <c r="AD13" i="140"/>
  <c r="X15" i="140"/>
  <c r="X19" i="68"/>
  <c r="X8" i="68"/>
  <c r="AH15" i="142"/>
  <c r="AP7" i="184"/>
  <c r="I43" i="83"/>
  <c r="J43" i="83" s="1"/>
  <c r="AO8" i="159" s="1"/>
  <c r="AQ8" i="159" s="1"/>
  <c r="H43" i="83"/>
  <c r="H110" i="83"/>
  <c r="I110" i="83"/>
  <c r="J110" i="83" s="1"/>
  <c r="AO8" i="175" s="1"/>
  <c r="AP8" i="175" s="1"/>
  <c r="Y39" i="68"/>
  <c r="AM8" i="141"/>
  <c r="AI8" i="141"/>
  <c r="AG21" i="141"/>
  <c r="I17" i="83"/>
  <c r="J17" i="83" s="1"/>
  <c r="AO6" i="144" s="1"/>
  <c r="H17" i="83"/>
  <c r="I23" i="83"/>
  <c r="J23" i="83" s="1"/>
  <c r="AO6" i="148" s="1"/>
  <c r="AO8" i="148" s="1"/>
  <c r="H23" i="83"/>
  <c r="J49" i="76"/>
  <c r="K54" i="76" s="1"/>
  <c r="F55" i="76"/>
  <c r="M20" i="84"/>
  <c r="M5" i="84"/>
  <c r="Q5" i="84"/>
  <c r="Q20" i="84"/>
  <c r="R5" i="84"/>
  <c r="AG44" i="175"/>
  <c r="AF25" i="187"/>
  <c r="AL23" i="187"/>
  <c r="AM13" i="142"/>
  <c r="AB8" i="68"/>
  <c r="I4" i="83"/>
  <c r="J4" i="83" s="1"/>
  <c r="K4" i="83" s="1"/>
  <c r="AO9" i="139" s="1"/>
  <c r="H4" i="83"/>
  <c r="AM27" i="148"/>
  <c r="AP19" i="163"/>
  <c r="U16" i="177"/>
  <c r="T17" i="174"/>
  <c r="Z17" i="174" s="1"/>
  <c r="V15" i="174"/>
  <c r="Y20" i="153"/>
  <c r="E18" i="156"/>
  <c r="Q17" i="140"/>
  <c r="AG8" i="68"/>
  <c r="AH8" i="68" s="1"/>
  <c r="AI8" i="68" s="1"/>
  <c r="AQ13" i="142"/>
  <c r="V33" i="68"/>
  <c r="AH15" i="166"/>
  <c r="AL7" i="182"/>
  <c r="AK15" i="182"/>
  <c r="AG54" i="68" s="1"/>
  <c r="F63" i="76"/>
  <c r="J59" i="76"/>
  <c r="J69" i="76"/>
  <c r="J79" i="76" s="1"/>
  <c r="F79" i="76"/>
  <c r="AG13" i="166"/>
  <c r="AM13" i="166" s="1"/>
  <c r="AB17" i="68"/>
  <c r="AP27" i="148"/>
  <c r="AK18" i="147"/>
  <c r="AL20" i="147" s="1"/>
  <c r="AM16" i="147"/>
  <c r="AP24" i="172"/>
  <c r="AM42" i="175"/>
  <c r="AI42" i="175"/>
  <c r="AL16" i="177"/>
  <c r="AK22" i="144"/>
  <c r="AL24" i="144" s="1"/>
  <c r="AB27" i="68"/>
  <c r="AL49" i="160"/>
  <c r="AI14" i="168"/>
  <c r="M24" i="144"/>
  <c r="Z28" i="143"/>
  <c r="Z9" i="167"/>
  <c r="AI19" i="163"/>
  <c r="M15" i="178"/>
  <c r="M24" i="181"/>
  <c r="L17" i="174"/>
  <c r="N15" i="174"/>
  <c r="H17" i="174"/>
  <c r="J15" i="174"/>
  <c r="P20" i="149"/>
  <c r="Q22" i="149" s="1"/>
  <c r="Y54" i="159"/>
  <c r="Q54" i="159"/>
  <c r="AD21" i="159"/>
  <c r="Q15" i="142"/>
  <c r="AC8" i="68"/>
  <c r="AD8" i="68" s="1"/>
  <c r="AH31" i="148"/>
  <c r="H122" i="83"/>
  <c r="I122" i="83"/>
  <c r="J122" i="83" s="1"/>
  <c r="AO6" i="178" s="1"/>
  <c r="Q18" i="74"/>
  <c r="Q25" i="74"/>
  <c r="AP12" i="168"/>
  <c r="AO14" i="168"/>
  <c r="AG36" i="68" s="1"/>
  <c r="AG37" i="68" s="1"/>
  <c r="H11" i="83"/>
  <c r="I11" i="83"/>
  <c r="J11" i="83" s="1"/>
  <c r="AO7" i="141" s="1"/>
  <c r="O5" i="84"/>
  <c r="O20" i="84"/>
  <c r="P5" i="84"/>
  <c r="AM7" i="154"/>
  <c r="AI7" i="154"/>
  <c r="AG9" i="154"/>
  <c r="AF15" i="187"/>
  <c r="U32" i="155"/>
  <c r="J21" i="159"/>
  <c r="AC44" i="175"/>
  <c r="AC46" i="175" s="1"/>
  <c r="AH47" i="165"/>
  <c r="X32" i="68" s="1"/>
  <c r="AH32" i="155"/>
  <c r="AH28" i="173"/>
  <c r="R20" i="84"/>
  <c r="AA6" i="84"/>
  <c r="X6" i="84"/>
  <c r="T7" i="84"/>
  <c r="X7" i="84"/>
  <c r="T8" i="84"/>
  <c r="X8" i="84"/>
  <c r="T10" i="84"/>
  <c r="X10" i="84"/>
  <c r="T12" i="84"/>
  <c r="X12" i="84"/>
  <c r="AM21" i="163"/>
  <c r="W30" i="68"/>
  <c r="AG30" i="167"/>
  <c r="AH32" i="167" s="1"/>
  <c r="AG20" i="152"/>
  <c r="AM15" i="140"/>
  <c r="AB6" i="68"/>
  <c r="AQ10" i="155"/>
  <c r="AP28" i="155"/>
  <c r="AL20" i="151"/>
  <c r="AQ13" i="178"/>
  <c r="AB36" i="68"/>
  <c r="AB37" i="68" s="1"/>
  <c r="AM14" i="168"/>
  <c r="AM8" i="150"/>
  <c r="AP10" i="159"/>
  <c r="AQ10" i="159"/>
  <c r="AP15" i="159"/>
  <c r="AQ15" i="159"/>
  <c r="AK15" i="146"/>
  <c r="N30" i="155"/>
  <c r="V28" i="155"/>
  <c r="AC21" i="141"/>
  <c r="AH44" i="169"/>
  <c r="X38" i="68" s="1"/>
  <c r="Y38" i="68" s="1"/>
  <c r="AF43" i="154"/>
  <c r="V20" i="68" s="1"/>
  <c r="AQ13" i="146"/>
  <c r="V6" i="84"/>
  <c r="V7" i="84"/>
  <c r="Z7" i="84"/>
  <c r="N9" i="84"/>
  <c r="V9" i="84"/>
  <c r="Z9" i="84"/>
  <c r="R9" i="84"/>
  <c r="N13" i="84"/>
  <c r="V13" i="84"/>
  <c r="Z13" i="84"/>
  <c r="R13" i="84"/>
  <c r="V8" i="84"/>
  <c r="Z8" i="84"/>
  <c r="V10" i="84"/>
  <c r="Z10" i="84"/>
  <c r="V12" i="84"/>
  <c r="Z12" i="84"/>
  <c r="AG18" i="151"/>
  <c r="AM18" i="151" s="1"/>
  <c r="H125" i="83"/>
  <c r="I125" i="83"/>
  <c r="J125" i="83" s="1"/>
  <c r="AO7" i="161" s="1"/>
  <c r="AQ7" i="161" s="1"/>
  <c r="AP49" i="159"/>
  <c r="AP52" i="159" s="1"/>
  <c r="AO52" i="159"/>
  <c r="AQ52" i="159" s="1"/>
  <c r="AH54" i="159"/>
  <c r="X26" i="68" s="1"/>
  <c r="AK26" i="150"/>
  <c r="AM25" i="145"/>
  <c r="AB11" i="68"/>
  <c r="AM8" i="145"/>
  <c r="AB33" i="68"/>
  <c r="AH33" i="68" s="1"/>
  <c r="AI33" i="68" s="1"/>
  <c r="G15" i="74"/>
  <c r="K15" i="74"/>
  <c r="AH6" i="68"/>
  <c r="AI6" i="68" s="1"/>
  <c r="L15" i="76"/>
  <c r="AQ33" i="145" s="1"/>
  <c r="L17" i="76"/>
  <c r="AP28" i="149" s="1"/>
  <c r="L28" i="76"/>
  <c r="AQ37" i="148" s="1"/>
  <c r="L30" i="76"/>
  <c r="AQ55" i="165" s="1"/>
  <c r="AM13" i="140"/>
  <c r="AM11" i="142"/>
  <c r="AB20" i="149"/>
  <c r="AC22" i="149" s="1"/>
  <c r="AJ20" i="149"/>
  <c r="AL20" i="152"/>
  <c r="AG15" i="178"/>
  <c r="AL40" i="181"/>
  <c r="AP16" i="147"/>
  <c r="AP24" i="150"/>
  <c r="AL25" i="145"/>
  <c r="AL27" i="145" s="1"/>
  <c r="AG54" i="159"/>
  <c r="W26" i="68" s="1"/>
  <c r="Y26" i="68" s="1"/>
  <c r="AL25" i="158"/>
  <c r="AL18" i="153"/>
  <c r="AL20" i="153" s="1"/>
  <c r="AM14" i="170"/>
  <c r="E15" i="74"/>
  <c r="I15" i="74"/>
  <c r="M15" i="74"/>
  <c r="AO7" i="183"/>
  <c r="T14" i="183"/>
  <c r="L16" i="76"/>
  <c r="AQ31" i="144" s="1"/>
  <c r="L19" i="76"/>
  <c r="AQ37" i="143" s="1"/>
  <c r="L24" i="76"/>
  <c r="AQ36" i="173" s="1"/>
  <c r="L29" i="76"/>
  <c r="AQ55" i="160" s="1"/>
  <c r="L31" i="76"/>
  <c r="AQ52" i="169" s="1"/>
  <c r="H55" i="76"/>
  <c r="H65" i="76" s="1"/>
  <c r="W56" i="68"/>
  <c r="AC56" i="68" s="1"/>
  <c r="V56" i="68"/>
  <c r="V57" i="68" s="1"/>
  <c r="AH15" i="178"/>
  <c r="X49" i="68" s="1"/>
  <c r="AK20" i="152"/>
  <c r="AM20" i="152" s="1"/>
  <c r="AL15" i="178"/>
  <c r="AL17" i="178" s="1"/>
  <c r="AL23" i="180"/>
  <c r="AL22" i="181"/>
  <c r="AL24" i="181" s="1"/>
  <c r="AL29" i="148"/>
  <c r="AL31" i="148" s="1"/>
  <c r="AM23" i="145"/>
  <c r="AL54" i="159"/>
  <c r="AL56" i="159" s="1"/>
  <c r="AP12" i="177"/>
  <c r="AP14" i="177" s="1"/>
  <c r="AM9" i="167"/>
  <c r="Y12" i="68"/>
  <c r="AK25" i="158"/>
  <c r="AB24" i="68" s="1"/>
  <c r="AQ23" i="158"/>
  <c r="AM23" i="158"/>
  <c r="AO13" i="179"/>
  <c r="AQ13" i="179" s="1"/>
  <c r="Y16" i="68"/>
  <c r="AO6" i="145"/>
  <c r="AQ6" i="145" s="1"/>
  <c r="K19" i="83"/>
  <c r="AO7" i="145" s="1"/>
  <c r="AQ7" i="145" s="1"/>
  <c r="K74" i="83"/>
  <c r="AO8" i="162" s="1"/>
  <c r="AP8" i="162" s="1"/>
  <c r="AQ8" i="162" s="1"/>
  <c r="AO6" i="162"/>
  <c r="AP6" i="162" s="1"/>
  <c r="AP12" i="159"/>
  <c r="AO66" i="159"/>
  <c r="C17" i="77" s="1"/>
  <c r="AP8" i="164"/>
  <c r="AQ8" i="164" s="1"/>
  <c r="J132" i="83"/>
  <c r="H130" i="83"/>
  <c r="AQ11" i="159"/>
  <c r="AQ14" i="159"/>
  <c r="AQ16" i="159"/>
  <c r="AQ19" i="159"/>
  <c r="E17" i="178"/>
  <c r="Y17" i="178"/>
  <c r="M17" i="178"/>
  <c r="V15" i="178"/>
  <c r="N15" i="178"/>
  <c r="Y32" i="68"/>
  <c r="AP26" i="157"/>
  <c r="I18" i="156"/>
  <c r="AQ11" i="154"/>
  <c r="AP41" i="154"/>
  <c r="AQ41" i="154" s="1"/>
  <c r="AC32" i="143"/>
  <c r="AP28" i="143"/>
  <c r="U32" i="143"/>
  <c r="E22" i="149"/>
  <c r="AK20" i="149"/>
  <c r="AK22" i="149" s="1"/>
  <c r="I22" i="149"/>
  <c r="AP15" i="140"/>
  <c r="AQ15" i="140" s="1"/>
  <c r="K111" i="83"/>
  <c r="AO9" i="175"/>
  <c r="AP9" i="175" s="1"/>
  <c r="K94" i="83"/>
  <c r="AO8" i="167" s="1"/>
  <c r="AQ8" i="167" s="1"/>
  <c r="AO6" i="167"/>
  <c r="AQ6" i="141"/>
  <c r="AP6" i="141"/>
  <c r="K5" i="83"/>
  <c r="AO10" i="139"/>
  <c r="AP10" i="139" s="1"/>
  <c r="AO8" i="154"/>
  <c r="AO53" i="154" s="1"/>
  <c r="C16" i="77" s="1"/>
  <c r="K37" i="83"/>
  <c r="AO7" i="159"/>
  <c r="K41" i="83"/>
  <c r="AO13" i="159" s="1"/>
  <c r="AP20" i="159"/>
  <c r="AQ20" i="159"/>
  <c r="AP6" i="164"/>
  <c r="AO7" i="143"/>
  <c r="K13" i="83"/>
  <c r="AO9" i="143" s="1"/>
  <c r="AO7" i="172"/>
  <c r="AQ7" i="172" s="1"/>
  <c r="K103" i="83"/>
  <c r="AO8" i="172" s="1"/>
  <c r="AP8" i="172" s="1"/>
  <c r="AO6" i="161"/>
  <c r="K122" i="83"/>
  <c r="AO7" i="178" s="1"/>
  <c r="AO6" i="154"/>
  <c r="AP6" i="154" s="1"/>
  <c r="K36" i="83"/>
  <c r="AO6" i="151"/>
  <c r="AQ6" i="151" s="1"/>
  <c r="K30" i="83"/>
  <c r="AO7" i="151" s="1"/>
  <c r="AP9" i="159"/>
  <c r="AQ9" i="159"/>
  <c r="K97" i="83"/>
  <c r="AO7" i="169" s="1"/>
  <c r="AQ7" i="169" s="1"/>
  <c r="AO6" i="169"/>
  <c r="AQ6" i="169" s="1"/>
  <c r="K109" i="83"/>
  <c r="AO6" i="175"/>
  <c r="K23" i="83"/>
  <c r="AO7" i="148" s="1"/>
  <c r="AP7" i="148" s="1"/>
  <c r="AP7" i="163"/>
  <c r="AQ7" i="163"/>
  <c r="AO8" i="139"/>
  <c r="AP8" i="139" s="1"/>
  <c r="H37" i="83"/>
  <c r="H95" i="83"/>
  <c r="I126" i="83"/>
  <c r="J126" i="83" s="1"/>
  <c r="AO8" i="161" s="1"/>
  <c r="AQ8" i="161" s="1"/>
  <c r="I106" i="83"/>
  <c r="J106" i="83" s="1"/>
  <c r="H87" i="83"/>
  <c r="K25" i="83"/>
  <c r="AN8" i="149" s="1"/>
  <c r="AN9" i="149" s="1"/>
  <c r="AP26" i="149" s="1"/>
  <c r="H46" i="83"/>
  <c r="J91" i="83"/>
  <c r="AO10" i="165" s="1"/>
  <c r="H13" i="83"/>
  <c r="K21" i="83"/>
  <c r="AO7" i="147" s="1"/>
  <c r="AP7" i="147" s="1"/>
  <c r="AP8" i="147" s="1"/>
  <c r="AP18" i="147" s="1"/>
  <c r="K82" i="83"/>
  <c r="AO7" i="164" s="1"/>
  <c r="I129" i="83"/>
  <c r="J129" i="83" s="1"/>
  <c r="AO11" i="161" s="1"/>
  <c r="AQ11" i="161" s="1"/>
  <c r="K28" i="83"/>
  <c r="AO7" i="150" s="1"/>
  <c r="AP7" i="150" s="1"/>
  <c r="AQ8" i="143"/>
  <c r="AO41" i="143"/>
  <c r="C6" i="77" s="1"/>
  <c r="C18" i="77"/>
  <c r="AO14" i="160"/>
  <c r="B18" i="77" s="1"/>
  <c r="AL32" i="143"/>
  <c r="AQ28" i="143"/>
  <c r="M23" i="141"/>
  <c r="AD21" i="141"/>
  <c r="AC23" i="141"/>
  <c r="Y21" i="141"/>
  <c r="AK21" i="141"/>
  <c r="AM21" i="141" s="1"/>
  <c r="AQ19" i="141"/>
  <c r="W41" i="68"/>
  <c r="V30" i="155"/>
  <c r="Z30" i="155"/>
  <c r="AO30" i="155"/>
  <c r="AG21" i="68" s="1"/>
  <c r="AB15" i="68"/>
  <c r="V15" i="68"/>
  <c r="AL20" i="149"/>
  <c r="AH20" i="149"/>
  <c r="AH18" i="149"/>
  <c r="AL18" i="149"/>
  <c r="AQ6" i="154"/>
  <c r="Y8" i="68"/>
  <c r="AP6" i="149"/>
  <c r="C26" i="77"/>
  <c r="AP7" i="172"/>
  <c r="AO8" i="163"/>
  <c r="AO21" i="163" s="1"/>
  <c r="AG30" i="68" s="1"/>
  <c r="AH30" i="68" s="1"/>
  <c r="AI30" i="68" s="1"/>
  <c r="AO11" i="165"/>
  <c r="AQ52" i="165" s="1"/>
  <c r="AQ7" i="157"/>
  <c r="AQ24" i="157"/>
  <c r="Q28" i="157"/>
  <c r="AP14" i="156"/>
  <c r="AP16" i="156" s="1"/>
  <c r="AQ14" i="156"/>
  <c r="AP13" i="146"/>
  <c r="AO15" i="146"/>
  <c r="AG17" i="174"/>
  <c r="AL17" i="174"/>
  <c r="W37" i="68"/>
  <c r="AC36" i="68"/>
  <c r="AP6" i="150"/>
  <c r="AP8" i="150" s="1"/>
  <c r="AP26" i="150" s="1"/>
  <c r="AQ6" i="150"/>
  <c r="AC5" i="68"/>
  <c r="I19" i="174"/>
  <c r="Y19" i="174"/>
  <c r="AC19" i="174"/>
  <c r="E19" i="174"/>
  <c r="AK17" i="174"/>
  <c r="AK30" i="174" s="1"/>
  <c r="AQ15" i="174"/>
  <c r="AD30" i="174"/>
  <c r="AM15" i="174"/>
  <c r="AO17" i="174"/>
  <c r="AH23" i="141"/>
  <c r="Y23" i="141"/>
  <c r="Q15" i="74"/>
  <c r="R15" i="74"/>
  <c r="P18" i="74"/>
  <c r="L18" i="74"/>
  <c r="H18" i="74"/>
  <c r="D18" i="74"/>
  <c r="K25" i="74"/>
  <c r="G25" i="74"/>
  <c r="K18" i="74"/>
  <c r="G18" i="74"/>
  <c r="C18" i="74"/>
  <c r="L15" i="74"/>
  <c r="H15" i="74"/>
  <c r="D15" i="74"/>
  <c r="O15" i="74"/>
  <c r="AQ27" i="148"/>
  <c r="V21" i="159"/>
  <c r="J54" i="159"/>
  <c r="M54" i="159"/>
  <c r="AD26" i="184"/>
  <c r="D65" i="76"/>
  <c r="K9" i="76"/>
  <c r="L9" i="76" s="1"/>
  <c r="AQ39" i="139" s="1"/>
  <c r="K45" i="76"/>
  <c r="K42" i="76"/>
  <c r="K36" i="76"/>
  <c r="K62" i="76"/>
  <c r="L62" i="76" s="1"/>
  <c r="K26" i="76"/>
  <c r="K22" i="76"/>
  <c r="K12" i="76"/>
  <c r="L12" i="76" s="1"/>
  <c r="AQ40" i="139" s="1"/>
  <c r="J46" i="76"/>
  <c r="AQ29" i="141"/>
  <c r="U18" i="185"/>
  <c r="Z16" i="185"/>
  <c r="AB59" i="68"/>
  <c r="AM16" i="185"/>
  <c r="AL18" i="185"/>
  <c r="W59" i="68"/>
  <c r="W60" i="68" s="1"/>
  <c r="AI16" i="185"/>
  <c r="AH18" i="185"/>
  <c r="AQ16" i="185"/>
  <c r="AG59" i="68"/>
  <c r="AM14" i="185"/>
  <c r="AQ14" i="185"/>
  <c r="Z24" i="184"/>
  <c r="M28" i="184"/>
  <c r="Y28" i="184"/>
  <c r="AI26" i="184"/>
  <c r="AL26" i="184"/>
  <c r="AL28" i="184" s="1"/>
  <c r="Q28" i="184"/>
  <c r="Z26" i="184"/>
  <c r="U28" i="184"/>
  <c r="X58" i="68"/>
  <c r="AH28" i="184"/>
  <c r="AB58" i="68"/>
  <c r="AM26" i="184"/>
  <c r="I28" i="184"/>
  <c r="Y24" i="181"/>
  <c r="AD56" i="68"/>
  <c r="AC57" i="68"/>
  <c r="R20" i="181"/>
  <c r="AN15" i="187"/>
  <c r="AP15" i="187" s="1"/>
  <c r="AO31" i="187"/>
  <c r="W53" i="68"/>
  <c r="Y53" i="68" s="1"/>
  <c r="AH24" i="181"/>
  <c r="AI22" i="181"/>
  <c r="AM13" i="179"/>
  <c r="W50" i="68"/>
  <c r="AC50" i="68" s="1"/>
  <c r="AD50" i="68" s="1"/>
  <c r="E24" i="181"/>
  <c r="L23" i="180"/>
  <c r="M25" i="180" s="1"/>
  <c r="N21" i="180"/>
  <c r="AB23" i="180"/>
  <c r="AD23" i="180" s="1"/>
  <c r="AD21" i="180"/>
  <c r="P23" i="180"/>
  <c r="R23" i="180" s="1"/>
  <c r="R21" i="180"/>
  <c r="N13" i="178"/>
  <c r="N20" i="181"/>
  <c r="AM8" i="178"/>
  <c r="AM20" i="181"/>
  <c r="H23" i="180"/>
  <c r="J21" i="180"/>
  <c r="T23" i="180"/>
  <c r="U25" i="180" s="1"/>
  <c r="V21" i="180"/>
  <c r="AB52" i="68"/>
  <c r="AM23" i="180"/>
  <c r="AB53" i="68"/>
  <c r="AC53" i="68" s="1"/>
  <c r="AD53" i="68" s="1"/>
  <c r="AM22" i="181"/>
  <c r="AN22" i="181"/>
  <c r="AP22" i="181" s="1"/>
  <c r="AP20" i="181"/>
  <c r="AP21" i="180"/>
  <c r="AQ11" i="180"/>
  <c r="Y48" i="68"/>
  <c r="Z14" i="177"/>
  <c r="AC48" i="68"/>
  <c r="AD48" i="68" s="1"/>
  <c r="AD14" i="177"/>
  <c r="AO14" i="177"/>
  <c r="AQ14" i="177" s="1"/>
  <c r="AM14" i="177"/>
  <c r="V51" i="68"/>
  <c r="AB46" i="68"/>
  <c r="AM44" i="175"/>
  <c r="W46" i="68"/>
  <c r="AH46" i="175"/>
  <c r="AI44" i="175"/>
  <c r="AM12" i="175"/>
  <c r="AL46" i="175"/>
  <c r="AC23" i="163"/>
  <c r="AQ16" i="156"/>
  <c r="AG22" i="68"/>
  <c r="AH22" i="68" s="1"/>
  <c r="AI22" i="68" s="1"/>
  <c r="AM18" i="153"/>
  <c r="AB19" i="68"/>
  <c r="AC19" i="68" s="1"/>
  <c r="AD19" i="68" s="1"/>
  <c r="AC32" i="155"/>
  <c r="AP8" i="163"/>
  <c r="AP21" i="163" s="1"/>
  <c r="U23" i="163"/>
  <c r="Z21" i="163"/>
  <c r="U18" i="156"/>
  <c r="Z16" i="156"/>
  <c r="AM16" i="156"/>
  <c r="W22" i="68"/>
  <c r="Y22" i="68" s="1"/>
  <c r="AI16" i="156"/>
  <c r="Q45" i="154"/>
  <c r="Q32" i="155"/>
  <c r="E45" i="154"/>
  <c r="M45" i="154"/>
  <c r="Y19" i="68"/>
  <c r="AK43" i="154"/>
  <c r="AL45" i="154" s="1"/>
  <c r="AL16" i="156"/>
  <c r="AL18" i="156" s="1"/>
  <c r="AM14" i="156"/>
  <c r="AG25" i="158"/>
  <c r="AI25" i="158" s="1"/>
  <c r="AL21" i="163"/>
  <c r="AM7" i="153"/>
  <c r="AM16" i="153"/>
  <c r="AD26" i="157"/>
  <c r="AD19" i="163"/>
  <c r="Z8" i="163"/>
  <c r="Z25" i="158"/>
  <c r="Y32" i="155"/>
  <c r="AC45" i="154"/>
  <c r="U45" i="154"/>
  <c r="M32" i="155"/>
  <c r="AC77" i="161"/>
  <c r="Y21" i="68"/>
  <c r="W43" i="68"/>
  <c r="AO25" i="158"/>
  <c r="AQ25" i="158" s="1"/>
  <c r="AC30" i="68"/>
  <c r="AD30" i="68" s="1"/>
  <c r="AC38" i="68"/>
  <c r="AD38" i="68" s="1"/>
  <c r="AQ42" i="169"/>
  <c r="AL30" i="167"/>
  <c r="AO57" i="165"/>
  <c r="C23" i="77" s="1"/>
  <c r="AC32" i="68"/>
  <c r="AD32" i="68" s="1"/>
  <c r="AM73" i="161"/>
  <c r="AQ49" i="159"/>
  <c r="AC56" i="159"/>
  <c r="V54" i="159"/>
  <c r="Y56" i="159"/>
  <c r="Q56" i="159"/>
  <c r="R54" i="159"/>
  <c r="E56" i="159"/>
  <c r="M56" i="159"/>
  <c r="AH27" i="158"/>
  <c r="AD25" i="158"/>
  <c r="U27" i="158"/>
  <c r="AC27" i="158"/>
  <c r="AM25" i="158"/>
  <c r="Y27" i="158"/>
  <c r="AL27" i="158"/>
  <c r="AG24" i="68"/>
  <c r="Q27" i="158"/>
  <c r="I27" i="158"/>
  <c r="E27" i="158"/>
  <c r="AH28" i="157"/>
  <c r="W23" i="68"/>
  <c r="Y23" i="68" s="1"/>
  <c r="AI26" i="157"/>
  <c r="Z26" i="157"/>
  <c r="Y28" i="157"/>
  <c r="U28" i="157"/>
  <c r="AC28" i="157"/>
  <c r="E28" i="157"/>
  <c r="M28" i="157"/>
  <c r="I28" i="157"/>
  <c r="AM24" i="157"/>
  <c r="E32" i="155"/>
  <c r="J30" i="155"/>
  <c r="AM30" i="155"/>
  <c r="AB21" i="68"/>
  <c r="AC21" i="68" s="1"/>
  <c r="AD21" i="68" s="1"/>
  <c r="AM28" i="155"/>
  <c r="X20" i="68"/>
  <c r="AB20" i="68"/>
  <c r="X43" i="154"/>
  <c r="AD41" i="154"/>
  <c r="AO18" i="149"/>
  <c r="AG53" i="68"/>
  <c r="Y25" i="180"/>
  <c r="E25" i="180"/>
  <c r="X52" i="68"/>
  <c r="AO23" i="180"/>
  <c r="AQ23" i="180" s="1"/>
  <c r="AC52" i="68"/>
  <c r="AD52" i="68" s="1"/>
  <c r="AC25" i="180"/>
  <c r="AI23" i="180"/>
  <c r="AL25" i="180"/>
  <c r="AP20" i="144"/>
  <c r="AQ20" i="144" s="1"/>
  <c r="Y32" i="143"/>
  <c r="Y9" i="68"/>
  <c r="AC9" i="68"/>
  <c r="AD9" i="68" s="1"/>
  <c r="AM30" i="143"/>
  <c r="AI30" i="143"/>
  <c r="AH32" i="143"/>
  <c r="Q32" i="143"/>
  <c r="AM28" i="143"/>
  <c r="AL21" i="141"/>
  <c r="AL23" i="141" s="1"/>
  <c r="AP30" i="139"/>
  <c r="AP6" i="139"/>
  <c r="AM32" i="139"/>
  <c r="AL34" i="139"/>
  <c r="AQ12" i="168"/>
  <c r="AI30" i="167"/>
  <c r="AM28" i="167"/>
  <c r="N30" i="167"/>
  <c r="AC32" i="167"/>
  <c r="N28" i="167"/>
  <c r="X30" i="167"/>
  <c r="V60" i="68"/>
  <c r="V45" i="68"/>
  <c r="Y56" i="68"/>
  <c r="W57" i="68"/>
  <c r="Y57" i="68" s="1"/>
  <c r="AN14" i="183"/>
  <c r="AP12" i="183"/>
  <c r="AO14" i="183"/>
  <c r="AL14" i="183"/>
  <c r="AG16" i="183"/>
  <c r="AL12" i="183"/>
  <c r="AP23" i="187"/>
  <c r="AB15" i="187"/>
  <c r="AP15" i="174"/>
  <c r="AP17" i="174" s="1"/>
  <c r="AQ6" i="164"/>
  <c r="AQ7" i="153"/>
  <c r="AO18" i="153"/>
  <c r="AQ18" i="153" s="1"/>
  <c r="AQ22" i="153"/>
  <c r="B15" i="77"/>
  <c r="AQ23" i="153"/>
  <c r="AQ11" i="160"/>
  <c r="AP11" i="160"/>
  <c r="AP6" i="167"/>
  <c r="AQ6" i="167"/>
  <c r="AQ6" i="147"/>
  <c r="AP6" i="172"/>
  <c r="AQ11" i="139"/>
  <c r="AQ8" i="175"/>
  <c r="AQ6" i="153"/>
  <c r="AP6" i="153"/>
  <c r="AP7" i="153" s="1"/>
  <c r="AP18" i="153" s="1"/>
  <c r="AP6" i="161"/>
  <c r="AP8" i="161"/>
  <c r="AP10" i="161"/>
  <c r="AP12" i="161"/>
  <c r="AP14" i="161"/>
  <c r="AQ6" i="161"/>
  <c r="AQ8" i="160"/>
  <c r="AP8" i="160"/>
  <c r="AQ10" i="160"/>
  <c r="AP10" i="160"/>
  <c r="AQ7" i="167"/>
  <c r="AP7" i="167"/>
  <c r="AO10" i="172"/>
  <c r="AQ32" i="172" s="1"/>
  <c r="AQ7" i="139"/>
  <c r="AQ6" i="139"/>
  <c r="AQ14" i="139"/>
  <c r="AQ9" i="175"/>
  <c r="AP9" i="161"/>
  <c r="AP11" i="161"/>
  <c r="AP15" i="161"/>
  <c r="AP19" i="161"/>
  <c r="AP21" i="161"/>
  <c r="AP23" i="161"/>
  <c r="S15" i="74"/>
  <c r="S18" i="74"/>
  <c r="AP9" i="176"/>
  <c r="AQ9" i="176" s="1"/>
  <c r="AP6" i="176"/>
  <c r="AO14" i="176"/>
  <c r="AP8" i="176"/>
  <c r="AQ8" i="176" s="1"/>
  <c r="AQ10" i="176"/>
  <c r="AO58" i="176"/>
  <c r="C29" i="77" s="1"/>
  <c r="AO24" i="171"/>
  <c r="AP7" i="165"/>
  <c r="AQ7" i="165" s="1"/>
  <c r="AP9" i="165"/>
  <c r="AQ9" i="165" s="1"/>
  <c r="AP10" i="165"/>
  <c r="AQ10" i="165" s="1"/>
  <c r="X34" i="68"/>
  <c r="AH24" i="162"/>
  <c r="X29" i="68" s="1"/>
  <c r="AG24" i="162"/>
  <c r="AQ7" i="160"/>
  <c r="AM16" i="170"/>
  <c r="AL18" i="170"/>
  <c r="AM42" i="169"/>
  <c r="AP6" i="169"/>
  <c r="AP8" i="169"/>
  <c r="AL46" i="169"/>
  <c r="AM44" i="169"/>
  <c r="AM10" i="169"/>
  <c r="AM24" i="161"/>
  <c r="AM20" i="161"/>
  <c r="AL75" i="161"/>
  <c r="AK75" i="161"/>
  <c r="AK81" i="161" s="1"/>
  <c r="L10" i="169"/>
  <c r="T10" i="169"/>
  <c r="AC10" i="169"/>
  <c r="AI6" i="169"/>
  <c r="AD6" i="169"/>
  <c r="AB10" i="169"/>
  <c r="H10" i="169"/>
  <c r="U10" i="169"/>
  <c r="I10" i="169"/>
  <c r="AD26" i="169"/>
  <c r="AI26" i="169"/>
  <c r="D10" i="169"/>
  <c r="AD35" i="169"/>
  <c r="AI35" i="169"/>
  <c r="AD18" i="169"/>
  <c r="AI18" i="169"/>
  <c r="Q10" i="169"/>
  <c r="AD17" i="169"/>
  <c r="AI17" i="169"/>
  <c r="AD23" i="169"/>
  <c r="AI23" i="169"/>
  <c r="AI14" i="169"/>
  <c r="AD14" i="169"/>
  <c r="T42" i="169"/>
  <c r="AG25" i="161"/>
  <c r="AM25" i="161" s="1"/>
  <c r="AI20" i="161"/>
  <c r="L42" i="169"/>
  <c r="Y10" i="169"/>
  <c r="D42" i="169"/>
  <c r="AD13" i="169"/>
  <c r="AI13" i="169"/>
  <c r="AB42" i="169"/>
  <c r="AD8" i="169"/>
  <c r="AI8" i="169"/>
  <c r="H42" i="169"/>
  <c r="X42" i="169"/>
  <c r="Z42" i="169" s="1"/>
  <c r="AI19" i="169"/>
  <c r="AD19" i="169"/>
  <c r="AI22" i="169"/>
  <c r="AD22" i="169"/>
  <c r="AI9" i="169"/>
  <c r="AD9" i="169"/>
  <c r="AD25" i="169"/>
  <c r="AI25" i="169"/>
  <c r="AI40" i="169"/>
  <c r="AD40" i="169"/>
  <c r="AD21" i="169"/>
  <c r="AI21" i="169"/>
  <c r="I42" i="169"/>
  <c r="AI15" i="169"/>
  <c r="AD15" i="169"/>
  <c r="AD41" i="169"/>
  <c r="AI41" i="169"/>
  <c r="M42" i="169"/>
  <c r="AI36" i="169"/>
  <c r="AD36" i="169"/>
  <c r="P10" i="169"/>
  <c r="E10" i="169"/>
  <c r="P42" i="169"/>
  <c r="AD33" i="169"/>
  <c r="AI33" i="169"/>
  <c r="AD28" i="169"/>
  <c r="AI28" i="169"/>
  <c r="E42" i="169"/>
  <c r="AI27" i="169"/>
  <c r="AD27" i="169"/>
  <c r="X10" i="169"/>
  <c r="AD34" i="169"/>
  <c r="M10" i="169"/>
  <c r="AI7" i="169"/>
  <c r="AD7" i="169"/>
  <c r="AD39" i="169"/>
  <c r="AI39" i="169"/>
  <c r="AI32" i="169"/>
  <c r="AD32" i="169"/>
  <c r="AI20" i="169"/>
  <c r="AD20" i="169"/>
  <c r="Q42" i="169"/>
  <c r="U42" i="169"/>
  <c r="AI24" i="169"/>
  <c r="AD24" i="169"/>
  <c r="AC42" i="169"/>
  <c r="AD16" i="169"/>
  <c r="AI16" i="169"/>
  <c r="AI37" i="169"/>
  <c r="AD37" i="169"/>
  <c r="Y42" i="169"/>
  <c r="AI31" i="169"/>
  <c r="AD31" i="169"/>
  <c r="AD29" i="169"/>
  <c r="AI29" i="169"/>
  <c r="AO8" i="141" l="1"/>
  <c r="AP7" i="141"/>
  <c r="AP8" i="141" s="1"/>
  <c r="AP21" i="141" s="1"/>
  <c r="AO32" i="141"/>
  <c r="C5" i="77" s="1"/>
  <c r="AI22" i="144"/>
  <c r="W10" i="68"/>
  <c r="Y10" i="68" s="1"/>
  <c r="Q15" i="166"/>
  <c r="R13" i="166"/>
  <c r="V13" i="166"/>
  <c r="AD18" i="147"/>
  <c r="AC17" i="178"/>
  <c r="AM54" i="159"/>
  <c r="AO6" i="152"/>
  <c r="X51" i="68"/>
  <c r="AI15" i="178"/>
  <c r="F65" i="76"/>
  <c r="Q46" i="175"/>
  <c r="Y18" i="185"/>
  <c r="I24" i="181"/>
  <c r="Y36" i="68"/>
  <c r="AC17" i="146"/>
  <c r="U32" i="167"/>
  <c r="AQ14" i="170"/>
  <c r="AP16" i="170"/>
  <c r="AQ16" i="170" s="1"/>
  <c r="N13" i="166"/>
  <c r="M15" i="166"/>
  <c r="AC27" i="145"/>
  <c r="AD25" i="145"/>
  <c r="AP7" i="169"/>
  <c r="AP10" i="169" s="1"/>
  <c r="AP44" i="169" s="1"/>
  <c r="Y46" i="68"/>
  <c r="N54" i="159"/>
  <c r="AL32" i="167"/>
  <c r="AB7" i="68"/>
  <c r="AB25" i="68" s="1"/>
  <c r="AP8" i="167"/>
  <c r="AD20" i="149"/>
  <c r="AH28" i="172"/>
  <c r="AO12" i="162"/>
  <c r="AQ30" i="162" s="1"/>
  <c r="AP6" i="145"/>
  <c r="AQ13" i="166"/>
  <c r="J22" i="181"/>
  <c r="AD15" i="146"/>
  <c r="AI25" i="145"/>
  <c r="AD22" i="181"/>
  <c r="AH23" i="163"/>
  <c r="AH16" i="168"/>
  <c r="Z15" i="146"/>
  <c r="AH36" i="68"/>
  <c r="AI54" i="159"/>
  <c r="AI21" i="163"/>
  <c r="AO10" i="169"/>
  <c r="AM30" i="167"/>
  <c r="AQ51" i="165"/>
  <c r="AP7" i="161"/>
  <c r="B23" i="77"/>
  <c r="I23" i="77" s="1"/>
  <c r="AL23" i="163"/>
  <c r="AD15" i="178"/>
  <c r="J65" i="76"/>
  <c r="AH46" i="169"/>
  <c r="Y41" i="68"/>
  <c r="AC6" i="68"/>
  <c r="AD6" i="68" s="1"/>
  <c r="AI26" i="150"/>
  <c r="AH20" i="147"/>
  <c r="X13" i="68"/>
  <c r="Y13" i="68" s="1"/>
  <c r="AI29" i="148"/>
  <c r="AC31" i="148"/>
  <c r="U20" i="147"/>
  <c r="AQ8" i="148"/>
  <c r="B10" i="77"/>
  <c r="AO29" i="148"/>
  <c r="B5" i="77"/>
  <c r="AQ8" i="141"/>
  <c r="AQ27" i="141"/>
  <c r="AQ26" i="141"/>
  <c r="AQ25" i="141"/>
  <c r="AO21" i="141"/>
  <c r="W44" i="68"/>
  <c r="AI17" i="174"/>
  <c r="AG30" i="174"/>
  <c r="AH22" i="152"/>
  <c r="W18" i="68"/>
  <c r="AI20" i="152"/>
  <c r="L30" i="174"/>
  <c r="N17" i="174"/>
  <c r="Q32" i="167"/>
  <c r="R30" i="167"/>
  <c r="Z26" i="150"/>
  <c r="Y28" i="150"/>
  <c r="AD26" i="150"/>
  <c r="Y34" i="68"/>
  <c r="AO8" i="147"/>
  <c r="AQ25" i="147" s="1"/>
  <c r="AQ21" i="163"/>
  <c r="AH59" i="68"/>
  <c r="AI59" i="68" s="1"/>
  <c r="L36" i="76"/>
  <c r="AQ52" i="175" s="1"/>
  <c r="AL22" i="152"/>
  <c r="AO7" i="175"/>
  <c r="W17" i="68"/>
  <c r="AH20" i="151"/>
  <c r="AI18" i="151"/>
  <c r="AB12" i="68"/>
  <c r="AC12" i="68" s="1"/>
  <c r="AD12" i="68" s="1"/>
  <c r="AM15" i="146"/>
  <c r="AL25" i="187"/>
  <c r="AG27" i="187"/>
  <c r="AH25" i="187"/>
  <c r="Z14" i="168"/>
  <c r="Y16" i="168"/>
  <c r="AD44" i="175"/>
  <c r="Z44" i="175"/>
  <c r="Y46" i="175"/>
  <c r="AO9" i="167"/>
  <c r="AQ36" i="167" s="1"/>
  <c r="AP10" i="172"/>
  <c r="AP26" i="172" s="1"/>
  <c r="D23" i="77"/>
  <c r="W34" i="68"/>
  <c r="AC34" i="68" s="1"/>
  <c r="AD34" i="68" s="1"/>
  <c r="AO15" i="139"/>
  <c r="AQ37" i="139" s="1"/>
  <c r="AH53" i="68"/>
  <c r="AI53" i="68" s="1"/>
  <c r="W24" i="68"/>
  <c r="AH49" i="165"/>
  <c r="X42" i="68"/>
  <c r="U19" i="174"/>
  <c r="AG50" i="68"/>
  <c r="AH50" i="68" s="1"/>
  <c r="AI50" i="68" s="1"/>
  <c r="K78" i="76"/>
  <c r="L26" i="76"/>
  <c r="AQ37" i="173" s="1"/>
  <c r="M19" i="174"/>
  <c r="AQ7" i="141"/>
  <c r="AB18" i="68"/>
  <c r="K17" i="83"/>
  <c r="AO7" i="144" s="1"/>
  <c r="AP7" i="144" s="1"/>
  <c r="AQ7" i="144" s="1"/>
  <c r="AP8" i="159"/>
  <c r="J151" i="83"/>
  <c r="AO8" i="145"/>
  <c r="W49" i="68"/>
  <c r="AQ14" i="168"/>
  <c r="AB16" i="68"/>
  <c r="AC16" i="68" s="1"/>
  <c r="AD16" i="68" s="1"/>
  <c r="AL28" i="150"/>
  <c r="AM26" i="150"/>
  <c r="AH30" i="173"/>
  <c r="X43" i="68"/>
  <c r="X45" i="68" s="1"/>
  <c r="AM9" i="154"/>
  <c r="AI9" i="154"/>
  <c r="AG43" i="154"/>
  <c r="AM43" i="154" s="1"/>
  <c r="AL17" i="146"/>
  <c r="Z15" i="140"/>
  <c r="AD15" i="140"/>
  <c r="Y17" i="140"/>
  <c r="AC20" i="151"/>
  <c r="AD18" i="151"/>
  <c r="AD14" i="168"/>
  <c r="AQ28" i="155"/>
  <c r="AP30" i="155"/>
  <c r="AQ30" i="155" s="1"/>
  <c r="AB10" i="68"/>
  <c r="AC10" i="68" s="1"/>
  <c r="AD10" i="68" s="1"/>
  <c r="AM22" i="144"/>
  <c r="T30" i="174"/>
  <c r="Z30" i="174" s="1"/>
  <c r="V17" i="174"/>
  <c r="V30" i="167"/>
  <c r="Q25" i="180"/>
  <c r="AH56" i="159"/>
  <c r="V23" i="180"/>
  <c r="AM15" i="178"/>
  <c r="R30" i="174"/>
  <c r="AP7" i="145"/>
  <c r="AP8" i="145" s="1"/>
  <c r="R17" i="174"/>
  <c r="AC11" i="68"/>
  <c r="AD11" i="68" s="1"/>
  <c r="Y11" i="68"/>
  <c r="AQ53" i="160"/>
  <c r="AQ8" i="139"/>
  <c r="AQ10" i="139"/>
  <c r="AM17" i="174"/>
  <c r="AH17" i="178"/>
  <c r="AQ38" i="143"/>
  <c r="L22" i="76"/>
  <c r="Q19" i="174"/>
  <c r="AP14" i="168"/>
  <c r="AL15" i="187"/>
  <c r="AF31" i="187"/>
  <c r="AL31" i="187" s="1"/>
  <c r="AG17" i="187"/>
  <c r="J17" i="174"/>
  <c r="H30" i="174"/>
  <c r="J30" i="174" s="1"/>
  <c r="AB13" i="68"/>
  <c r="AC13" i="68" s="1"/>
  <c r="AD13" i="68" s="1"/>
  <c r="AM18" i="147"/>
  <c r="W33" i="68"/>
  <c r="AI13" i="166"/>
  <c r="W7" i="68"/>
  <c r="AI21" i="141"/>
  <c r="Z18" i="153"/>
  <c r="AQ7" i="143"/>
  <c r="AO10" i="143"/>
  <c r="AP6" i="144"/>
  <c r="AO8" i="144"/>
  <c r="AO22" i="144" s="1"/>
  <c r="AO21" i="159"/>
  <c r="AO54" i="159" s="1"/>
  <c r="AH24" i="68"/>
  <c r="AI24" i="68" s="1"/>
  <c r="AQ6" i="162"/>
  <c r="AP12" i="162"/>
  <c r="AQ12" i="162" s="1"/>
  <c r="L54" i="76"/>
  <c r="AQ90" i="161" s="1"/>
  <c r="AO29" i="161" s="1"/>
  <c r="L45" i="76"/>
  <c r="AQ38" i="167" s="1"/>
  <c r="L42" i="76"/>
  <c r="AO9" i="164"/>
  <c r="AQ26" i="164" s="1"/>
  <c r="AP7" i="164"/>
  <c r="AP9" i="164" s="1"/>
  <c r="AQ9" i="164" s="1"/>
  <c r="AO13" i="161"/>
  <c r="J152" i="83"/>
  <c r="AP6" i="175"/>
  <c r="AQ6" i="175"/>
  <c r="AQ17" i="174"/>
  <c r="AO30" i="174"/>
  <c r="AQ30" i="174" s="1"/>
  <c r="AL19" i="174"/>
  <c r="AB44" i="68"/>
  <c r="AB45" i="68" s="1"/>
  <c r="AH19" i="174"/>
  <c r="AC22" i="68"/>
  <c r="AD22" i="68" s="1"/>
  <c r="AP7" i="143"/>
  <c r="AP10" i="143" s="1"/>
  <c r="AP30" i="143" s="1"/>
  <c r="B22" i="77"/>
  <c r="I22" i="77" s="1"/>
  <c r="L22" i="77" s="1"/>
  <c r="AO8" i="149"/>
  <c r="AO9" i="149" s="1"/>
  <c r="AO20" i="149" s="1"/>
  <c r="AP8" i="149"/>
  <c r="AO6" i="173"/>
  <c r="K106" i="83"/>
  <c r="AO7" i="173" s="1"/>
  <c r="AP7" i="173" s="1"/>
  <c r="AQ7" i="173" s="1"/>
  <c r="AP6" i="148"/>
  <c r="AP8" i="148" s="1"/>
  <c r="AP29" i="148" s="1"/>
  <c r="AQ6" i="148"/>
  <c r="AP7" i="151"/>
  <c r="AQ7" i="151"/>
  <c r="AP6" i="178"/>
  <c r="AO8" i="178"/>
  <c r="AQ6" i="178"/>
  <c r="AP13" i="159"/>
  <c r="AQ13" i="159"/>
  <c r="AP9" i="143"/>
  <c r="AQ9" i="143"/>
  <c r="J145" i="83"/>
  <c r="AO7" i="154"/>
  <c r="AP9" i="139"/>
  <c r="AP15" i="139" s="1"/>
  <c r="AP32" i="139" s="1"/>
  <c r="AQ9" i="139"/>
  <c r="AP6" i="151"/>
  <c r="AO8" i="151"/>
  <c r="AP7" i="178"/>
  <c r="AQ7" i="178"/>
  <c r="AP7" i="159"/>
  <c r="AQ7" i="159"/>
  <c r="AP8" i="154"/>
  <c r="AQ8" i="154" s="1"/>
  <c r="AP7" i="152"/>
  <c r="AQ7" i="152"/>
  <c r="J148" i="83"/>
  <c r="AO8" i="150"/>
  <c r="AQ35" i="148"/>
  <c r="AQ34" i="148"/>
  <c r="AQ33" i="148"/>
  <c r="AC15" i="68"/>
  <c r="AD15" i="68" s="1"/>
  <c r="I10" i="77"/>
  <c r="K10" i="77" s="1"/>
  <c r="D10" i="77"/>
  <c r="AQ53" i="165"/>
  <c r="AO47" i="165"/>
  <c r="AG32" i="68" s="1"/>
  <c r="AH32" i="68" s="1"/>
  <c r="AI32" i="68" s="1"/>
  <c r="AQ27" i="163"/>
  <c r="AQ25" i="163"/>
  <c r="AQ8" i="163"/>
  <c r="B21" i="77"/>
  <c r="AQ26" i="163"/>
  <c r="Y59" i="68"/>
  <c r="AB23" i="68"/>
  <c r="AC23" i="68" s="1"/>
  <c r="AD23" i="68" s="1"/>
  <c r="AQ26" i="157"/>
  <c r="AP15" i="146"/>
  <c r="AQ15" i="146"/>
  <c r="AG12" i="68"/>
  <c r="B6" i="77"/>
  <c r="I6" i="77" s="1"/>
  <c r="K6" i="77" s="1"/>
  <c r="AQ35" i="143"/>
  <c r="AQ29" i="144"/>
  <c r="AQ27" i="144"/>
  <c r="AG10" i="68"/>
  <c r="AD36" i="68"/>
  <c r="AC37" i="68"/>
  <c r="AD37" i="68" s="1"/>
  <c r="AC26" i="68"/>
  <c r="AD26" i="68" s="1"/>
  <c r="Y50" i="68"/>
  <c r="AG44" i="68"/>
  <c r="B29" i="77"/>
  <c r="I29" i="77" s="1"/>
  <c r="AQ53" i="176"/>
  <c r="AQ21" i="159"/>
  <c r="B25" i="77"/>
  <c r="D25" i="77" s="1"/>
  <c r="AQ50" i="169"/>
  <c r="K46" i="76"/>
  <c r="K65" i="76" s="1"/>
  <c r="AC59" i="68"/>
  <c r="AD59" i="68" s="1"/>
  <c r="AC58" i="68"/>
  <c r="AB60" i="68"/>
  <c r="X60" i="68"/>
  <c r="Y60" i="68" s="1"/>
  <c r="Y58" i="68"/>
  <c r="AD57" i="68"/>
  <c r="AP23" i="180"/>
  <c r="AQ21" i="180"/>
  <c r="I25" i="180"/>
  <c r="J23" i="180"/>
  <c r="Z23" i="180"/>
  <c r="N23" i="180"/>
  <c r="AG48" i="68"/>
  <c r="AH48" i="68" s="1"/>
  <c r="AI48" i="68" s="1"/>
  <c r="AB51" i="68"/>
  <c r="AC46" i="68"/>
  <c r="AO47" i="176"/>
  <c r="AP47" i="176" s="1"/>
  <c r="AQ52" i="176"/>
  <c r="AQ51" i="176"/>
  <c r="W45" i="68"/>
  <c r="Y45" i="68" s="1"/>
  <c r="AC43" i="68"/>
  <c r="Y43" i="68"/>
  <c r="AQ10" i="169"/>
  <c r="M44" i="169"/>
  <c r="AM26" i="157"/>
  <c r="AH23" i="68"/>
  <c r="AI23" i="68" s="1"/>
  <c r="AH21" i="68"/>
  <c r="AI21" i="68" s="1"/>
  <c r="Y45" i="154"/>
  <c r="AD43" i="154"/>
  <c r="Z43" i="154"/>
  <c r="X55" i="68"/>
  <c r="Y52" i="68"/>
  <c r="AG52" i="68"/>
  <c r="AO30" i="143"/>
  <c r="AQ33" i="143"/>
  <c r="AQ10" i="143"/>
  <c r="AQ34" i="143"/>
  <c r="AD5" i="68"/>
  <c r="AI36" i="68"/>
  <c r="AH37" i="68"/>
  <c r="AI37" i="68" s="1"/>
  <c r="Y32" i="167"/>
  <c r="Z30" i="167"/>
  <c r="AD30" i="167"/>
  <c r="AP14" i="183"/>
  <c r="AG56" i="68"/>
  <c r="AH56" i="68" s="1"/>
  <c r="AN31" i="187"/>
  <c r="AP31" i="187" s="1"/>
  <c r="AP25" i="187"/>
  <c r="AH15" i="187"/>
  <c r="AB31" i="187"/>
  <c r="AH31" i="187" s="1"/>
  <c r="AO30" i="167"/>
  <c r="AQ8" i="147"/>
  <c r="AQ24" i="147"/>
  <c r="AQ23" i="147"/>
  <c r="AO18" i="147"/>
  <c r="B9" i="77"/>
  <c r="D15" i="77"/>
  <c r="I15" i="77"/>
  <c r="L15" i="77" s="1"/>
  <c r="AG19" i="68"/>
  <c r="AH19" i="68" s="1"/>
  <c r="AI19" i="68" s="1"/>
  <c r="AP9" i="167"/>
  <c r="AP30" i="167" s="1"/>
  <c r="AQ31" i="172"/>
  <c r="AO26" i="172"/>
  <c r="AG41" i="68" s="1"/>
  <c r="AQ10" i="172"/>
  <c r="B26" i="77"/>
  <c r="AQ30" i="172"/>
  <c r="B11" i="77"/>
  <c r="AP25" i="149"/>
  <c r="AN20" i="149"/>
  <c r="AP20" i="149" s="1"/>
  <c r="AP9" i="149"/>
  <c r="AP24" i="149"/>
  <c r="AQ51" i="160"/>
  <c r="AQ6" i="176"/>
  <c r="AP14" i="176"/>
  <c r="AQ24" i="171"/>
  <c r="AG40" i="68"/>
  <c r="AH40" i="68" s="1"/>
  <c r="AI40" i="68" s="1"/>
  <c r="AP11" i="165"/>
  <c r="AQ11" i="165" s="1"/>
  <c r="X35" i="68"/>
  <c r="AM24" i="162"/>
  <c r="W29" i="68"/>
  <c r="AQ28" i="162"/>
  <c r="AH26" i="162"/>
  <c r="AQ14" i="160"/>
  <c r="D18" i="77"/>
  <c r="AQ52" i="160"/>
  <c r="AO47" i="160"/>
  <c r="I25" i="77"/>
  <c r="AO44" i="169"/>
  <c r="AQ49" i="169"/>
  <c r="AQ48" i="169"/>
  <c r="X14" i="160"/>
  <c r="AI32" i="160"/>
  <c r="AD32" i="160"/>
  <c r="I14" i="160"/>
  <c r="H14" i="160"/>
  <c r="Y14" i="160"/>
  <c r="Y47" i="160" s="1"/>
  <c r="E14" i="160"/>
  <c r="D12" i="162"/>
  <c r="AI6" i="160"/>
  <c r="AD6" i="160"/>
  <c r="AB14" i="160"/>
  <c r="AB12" i="162"/>
  <c r="AD6" i="162"/>
  <c r="AI6" i="162"/>
  <c r="D14" i="160"/>
  <c r="AB22" i="162"/>
  <c r="AI15" i="162"/>
  <c r="AD15" i="162"/>
  <c r="H12" i="162"/>
  <c r="U45" i="160"/>
  <c r="L45" i="160"/>
  <c r="P12" i="162"/>
  <c r="R12" i="162" s="1"/>
  <c r="T14" i="160"/>
  <c r="AI39" i="160"/>
  <c r="AD39" i="160"/>
  <c r="AD7" i="160"/>
  <c r="AI7" i="160"/>
  <c r="AI8" i="162"/>
  <c r="AD8" i="162"/>
  <c r="D22" i="162"/>
  <c r="D24" i="162" s="1"/>
  <c r="Q14" i="160"/>
  <c r="AC45" i="160"/>
  <c r="AD42" i="160"/>
  <c r="AI42" i="160"/>
  <c r="Y45" i="160"/>
  <c r="AD22" i="160"/>
  <c r="AI22" i="160"/>
  <c r="Q12" i="162"/>
  <c r="Q24" i="162" s="1"/>
  <c r="T45" i="160"/>
  <c r="I12" i="162"/>
  <c r="AD44" i="160"/>
  <c r="AI44" i="160"/>
  <c r="X12" i="162"/>
  <c r="AC12" i="162"/>
  <c r="AI29" i="160"/>
  <c r="AD29" i="160"/>
  <c r="AC14" i="160"/>
  <c r="AI36" i="160"/>
  <c r="AD36" i="160"/>
  <c r="AI25" i="160"/>
  <c r="AD25" i="160"/>
  <c r="AI27" i="160"/>
  <c r="AD27" i="160"/>
  <c r="P22" i="162"/>
  <c r="R22" i="162" s="1"/>
  <c r="M45" i="160"/>
  <c r="AD28" i="160"/>
  <c r="I22" i="162"/>
  <c r="AI13" i="170"/>
  <c r="T11" i="179"/>
  <c r="T13" i="179" s="1"/>
  <c r="U11" i="179"/>
  <c r="U13" i="179" s="1"/>
  <c r="U15" i="179" s="1"/>
  <c r="I14" i="170"/>
  <c r="I16" i="170" s="1"/>
  <c r="AI10" i="162"/>
  <c r="AD10" i="162"/>
  <c r="AD20" i="160"/>
  <c r="AI20" i="160"/>
  <c r="E22" i="162"/>
  <c r="E24" i="162" s="1"/>
  <c r="U14" i="170"/>
  <c r="U16" i="170" s="1"/>
  <c r="U12" i="162"/>
  <c r="M12" i="162"/>
  <c r="Q45" i="160"/>
  <c r="Q47" i="160" s="1"/>
  <c r="AB11" i="179"/>
  <c r="T22" i="162"/>
  <c r="AI23" i="160"/>
  <c r="AD23" i="160"/>
  <c r="AI12" i="160"/>
  <c r="AD12" i="160"/>
  <c r="AB14" i="170"/>
  <c r="AI10" i="170"/>
  <c r="AI24" i="160"/>
  <c r="AD24" i="160"/>
  <c r="AI17" i="160"/>
  <c r="AD17" i="160"/>
  <c r="AB45" i="160"/>
  <c r="AI38" i="160"/>
  <c r="AD38" i="160"/>
  <c r="T12" i="162"/>
  <c r="Z12" i="162" s="1"/>
  <c r="AD31" i="160"/>
  <c r="AI31" i="160"/>
  <c r="AI41" i="160"/>
  <c r="AD41" i="160"/>
  <c r="AC22" i="162"/>
  <c r="L14" i="160"/>
  <c r="U14" i="160"/>
  <c r="M14" i="160"/>
  <c r="M47" i="160" s="1"/>
  <c r="E12" i="162"/>
  <c r="AI33" i="160"/>
  <c r="AD33" i="160"/>
  <c r="AD18" i="160"/>
  <c r="AI18" i="160"/>
  <c r="H22" i="162"/>
  <c r="P14" i="160"/>
  <c r="E45" i="160"/>
  <c r="E47" i="160" s="1"/>
  <c r="AD40" i="160"/>
  <c r="AI40" i="160"/>
  <c r="AI43" i="160"/>
  <c r="AD43" i="160"/>
  <c r="T14" i="170"/>
  <c r="T16" i="170" s="1"/>
  <c r="Y12" i="162"/>
  <c r="AI21" i="160"/>
  <c r="AD21" i="160"/>
  <c r="E11" i="179"/>
  <c r="E13" i="179" s="1"/>
  <c r="AC14" i="170"/>
  <c r="AC16" i="170" s="1"/>
  <c r="U22" i="162"/>
  <c r="H14" i="170"/>
  <c r="H16" i="170" s="1"/>
  <c r="I18" i="170" s="1"/>
  <c r="AD34" i="160"/>
  <c r="AI34" i="160"/>
  <c r="AD9" i="162"/>
  <c r="AI9" i="162"/>
  <c r="D45" i="160"/>
  <c r="L22" i="162"/>
  <c r="N22" i="162" s="1"/>
  <c r="AI19" i="160"/>
  <c r="AD19" i="160"/>
  <c r="Q14" i="170"/>
  <c r="Q16" i="170" s="1"/>
  <c r="X45" i="160"/>
  <c r="Z45" i="160" s="1"/>
  <c r="X22" i="162"/>
  <c r="P45" i="160"/>
  <c r="R45" i="160" s="1"/>
  <c r="I45" i="160"/>
  <c r="AI10" i="160"/>
  <c r="AD10" i="160"/>
  <c r="Q22" i="162"/>
  <c r="AD8" i="160"/>
  <c r="AB57" i="160"/>
  <c r="AI8" i="160"/>
  <c r="AD18" i="162"/>
  <c r="AI18" i="162"/>
  <c r="AI16" i="162"/>
  <c r="AD16" i="162"/>
  <c r="Y22" i="162"/>
  <c r="Y24" i="162" s="1"/>
  <c r="AD11" i="162"/>
  <c r="AI11" i="162"/>
  <c r="L12" i="162"/>
  <c r="H45" i="160"/>
  <c r="H47" i="160" s="1"/>
  <c r="M22" i="162"/>
  <c r="AD19" i="162"/>
  <c r="AI19" i="162"/>
  <c r="AD37" i="160"/>
  <c r="AI37" i="160"/>
  <c r="I11" i="179"/>
  <c r="I13" i="179" s="1"/>
  <c r="AI21" i="162"/>
  <c r="AD21" i="162"/>
  <c r="H11" i="179"/>
  <c r="H13" i="179" s="1"/>
  <c r="P11" i="179"/>
  <c r="P13" i="179" s="1"/>
  <c r="AI26" i="160"/>
  <c r="AD26" i="160"/>
  <c r="AC11" i="179"/>
  <c r="AC13" i="179" s="1"/>
  <c r="D11" i="179"/>
  <c r="D13" i="179" s="1"/>
  <c r="E15" i="179" s="1"/>
  <c r="L14" i="170"/>
  <c r="L16" i="170" s="1"/>
  <c r="M11" i="179"/>
  <c r="M13" i="179" s="1"/>
  <c r="AI9" i="160"/>
  <c r="AD9" i="160"/>
  <c r="AD11" i="160"/>
  <c r="AI11" i="160"/>
  <c r="Y14" i="170"/>
  <c r="Y16" i="170" s="1"/>
  <c r="AI11" i="170"/>
  <c r="P14" i="170"/>
  <c r="P16" i="170" s="1"/>
  <c r="Q18" i="170" s="1"/>
  <c r="E14" i="170"/>
  <c r="E16" i="170" s="1"/>
  <c r="D14" i="170"/>
  <c r="D16" i="170" s="1"/>
  <c r="AI35" i="160"/>
  <c r="AD35" i="160"/>
  <c r="AD20" i="162"/>
  <c r="AI20" i="162"/>
  <c r="L11" i="179"/>
  <c r="L13" i="179" s="1"/>
  <c r="M14" i="170"/>
  <c r="M16" i="170" s="1"/>
  <c r="X14" i="170"/>
  <c r="Z14" i="170" s="1"/>
  <c r="Q11" i="179"/>
  <c r="Q13" i="179" s="1"/>
  <c r="AD30" i="160"/>
  <c r="AI13" i="160"/>
  <c r="AG14" i="160"/>
  <c r="AM14" i="160" s="1"/>
  <c r="X11" i="179"/>
  <c r="Y11" i="179"/>
  <c r="Y13" i="179" s="1"/>
  <c r="AK83" i="161"/>
  <c r="AM83" i="161" s="1"/>
  <c r="AM81" i="161"/>
  <c r="AL77" i="161"/>
  <c r="AP14" i="160"/>
  <c r="N12" i="162"/>
  <c r="AI25" i="161"/>
  <c r="AG75" i="161"/>
  <c r="AI75" i="161" s="1"/>
  <c r="X24" i="162"/>
  <c r="J12" i="162"/>
  <c r="AB47" i="160"/>
  <c r="J14" i="160"/>
  <c r="M18" i="170"/>
  <c r="E44" i="169"/>
  <c r="P44" i="169"/>
  <c r="Y44" i="169"/>
  <c r="I24" i="162"/>
  <c r="Q44" i="169"/>
  <c r="I44" i="169"/>
  <c r="D47" i="160"/>
  <c r="H44" i="169"/>
  <c r="Z11" i="179"/>
  <c r="X13" i="179"/>
  <c r="AI45" i="160"/>
  <c r="X44" i="169"/>
  <c r="Z10" i="169"/>
  <c r="AB16" i="170"/>
  <c r="AI14" i="170"/>
  <c r="AI11" i="179"/>
  <c r="AD11" i="179"/>
  <c r="AB13" i="179"/>
  <c r="AI42" i="169"/>
  <c r="AD42" i="169"/>
  <c r="R14" i="160"/>
  <c r="L47" i="160"/>
  <c r="T24" i="162"/>
  <c r="AI22" i="162"/>
  <c r="AI12" i="162"/>
  <c r="AD12" i="162"/>
  <c r="AD10" i="169"/>
  <c r="AI10" i="169"/>
  <c r="AB44" i="169"/>
  <c r="X47" i="160"/>
  <c r="Z14" i="160"/>
  <c r="V14" i="160"/>
  <c r="T47" i="160"/>
  <c r="E18" i="170"/>
  <c r="M24" i="162"/>
  <c r="U18" i="170"/>
  <c r="D44" i="169"/>
  <c r="E46" i="169" s="1"/>
  <c r="U44" i="169"/>
  <c r="AC44" i="169"/>
  <c r="T44" i="169"/>
  <c r="L44" i="169"/>
  <c r="M46" i="169" s="1"/>
  <c r="AQ8" i="145" l="1"/>
  <c r="AP25" i="145"/>
  <c r="AP6" i="152"/>
  <c r="AO8" i="152"/>
  <c r="AQ29" i="162"/>
  <c r="D6" i="77"/>
  <c r="AQ60" i="159"/>
  <c r="AQ6" i="152"/>
  <c r="AD14" i="170"/>
  <c r="AG47" i="160"/>
  <c r="M15" i="179"/>
  <c r="Q15" i="179"/>
  <c r="J22" i="162"/>
  <c r="N14" i="160"/>
  <c r="V22" i="162"/>
  <c r="AD22" i="162"/>
  <c r="AB24" i="162"/>
  <c r="I47" i="160"/>
  <c r="D29" i="77"/>
  <c r="B4" i="77"/>
  <c r="I4" i="77" s="1"/>
  <c r="K4" i="77" s="1"/>
  <c r="AC44" i="68"/>
  <c r="AD44" i="68" s="1"/>
  <c r="B17" i="77"/>
  <c r="D17" i="77" s="1"/>
  <c r="D22" i="77"/>
  <c r="J153" i="83"/>
  <c r="P24" i="162"/>
  <c r="B20" i="77"/>
  <c r="AO24" i="162"/>
  <c r="AG29" i="68" s="1"/>
  <c r="AH29" i="68" s="1"/>
  <c r="AI29" i="68" s="1"/>
  <c r="X16" i="170"/>
  <c r="Y18" i="170" s="1"/>
  <c r="AD14" i="160"/>
  <c r="AG47" i="68"/>
  <c r="AQ35" i="139"/>
  <c r="B24" i="77"/>
  <c r="I24" i="77" s="1"/>
  <c r="L24" i="77" s="1"/>
  <c r="AQ59" i="159"/>
  <c r="AQ61" i="159"/>
  <c r="AH10" i="68"/>
  <c r="AI10" i="68" s="1"/>
  <c r="AP8" i="152"/>
  <c r="AP20" i="152" s="1"/>
  <c r="K145" i="83"/>
  <c r="J146" i="83" s="1"/>
  <c r="AQ31" i="145"/>
  <c r="AQ29" i="145"/>
  <c r="AO25" i="145"/>
  <c r="AQ30" i="145"/>
  <c r="B8" i="77"/>
  <c r="AB63" i="68"/>
  <c r="AC18" i="68"/>
  <c r="AD18" i="68" s="1"/>
  <c r="AP7" i="175"/>
  <c r="AP12" i="175" s="1"/>
  <c r="AP44" i="175" s="1"/>
  <c r="AQ7" i="175"/>
  <c r="AG14" i="68"/>
  <c r="AH14" i="68" s="1"/>
  <c r="AI14" i="68" s="1"/>
  <c r="AQ29" i="148"/>
  <c r="AI14" i="160"/>
  <c r="H24" i="162"/>
  <c r="U47" i="160"/>
  <c r="U49" i="160" s="1"/>
  <c r="AQ15" i="139"/>
  <c r="AQ34" i="167"/>
  <c r="AQ28" i="144"/>
  <c r="AQ24" i="164"/>
  <c r="Y7" i="68"/>
  <c r="M26" i="76"/>
  <c r="AO14" i="184" s="1"/>
  <c r="AP14" i="184" s="1"/>
  <c r="AQ14" i="184" s="1"/>
  <c r="AC7" i="68"/>
  <c r="Y18" i="68"/>
  <c r="W63" i="68"/>
  <c r="Z44" i="68"/>
  <c r="Y44" i="68"/>
  <c r="W20" i="68"/>
  <c r="AH45" i="154"/>
  <c r="AI43" i="154"/>
  <c r="L78" i="76"/>
  <c r="M78" i="76" s="1"/>
  <c r="AO15" i="184" s="1"/>
  <c r="AP15" i="184" s="1"/>
  <c r="AQ15" i="184" s="1"/>
  <c r="AG7" i="68"/>
  <c r="AH7" i="68" s="1"/>
  <c r="AI7" i="68" s="1"/>
  <c r="AQ21" i="141"/>
  <c r="V12" i="162"/>
  <c r="P47" i="160"/>
  <c r="Q49" i="160" s="1"/>
  <c r="AD45" i="160"/>
  <c r="N45" i="160"/>
  <c r="V45" i="160"/>
  <c r="AC47" i="160"/>
  <c r="AC49" i="160" s="1"/>
  <c r="AQ36" i="139"/>
  <c r="AO32" i="139"/>
  <c r="AQ32" i="139" s="1"/>
  <c r="AQ35" i="167"/>
  <c r="AQ9" i="167"/>
  <c r="V30" i="174"/>
  <c r="B7" i="77"/>
  <c r="D7" i="77" s="1"/>
  <c r="AH12" i="68"/>
  <c r="AI12" i="68" s="1"/>
  <c r="AP21" i="159"/>
  <c r="AP54" i="159" s="1"/>
  <c r="AP8" i="151"/>
  <c r="AP18" i="151" s="1"/>
  <c r="AQ25" i="164"/>
  <c r="M46" i="76"/>
  <c r="AO13" i="184" s="1"/>
  <c r="AP13" i="184" s="1"/>
  <c r="AC33" i="68"/>
  <c r="AD33" i="68" s="1"/>
  <c r="Y33" i="68"/>
  <c r="AC49" i="68"/>
  <c r="AD49" i="68" s="1"/>
  <c r="Y49" i="68"/>
  <c r="AC24" i="68"/>
  <c r="AD24" i="68" s="1"/>
  <c r="Y24" i="68"/>
  <c r="AC17" i="68"/>
  <c r="AD17" i="68" s="1"/>
  <c r="Y17" i="68"/>
  <c r="N30" i="174"/>
  <c r="AM30" i="174"/>
  <c r="AI30" i="174"/>
  <c r="I5" i="77"/>
  <c r="K5" i="77" s="1"/>
  <c r="D5" i="77"/>
  <c r="AO12" i="175"/>
  <c r="AG26" i="68"/>
  <c r="AH26" i="68" s="1"/>
  <c r="AI26" i="68" s="1"/>
  <c r="AQ54" i="159"/>
  <c r="AQ6" i="144"/>
  <c r="AP8" i="144"/>
  <c r="AO20" i="164"/>
  <c r="AG31" i="68" s="1"/>
  <c r="AO25" i="161"/>
  <c r="AO93" i="161"/>
  <c r="AQ29" i="161"/>
  <c r="AP29" i="161"/>
  <c r="AQ63" i="159"/>
  <c r="C19" i="77"/>
  <c r="C31" i="77" s="1"/>
  <c r="AP13" i="161"/>
  <c r="AP25" i="161" s="1"/>
  <c r="AQ13" i="161"/>
  <c r="AP8" i="178"/>
  <c r="AP15" i="178" s="1"/>
  <c r="AH44" i="68"/>
  <c r="AI44" i="68" s="1"/>
  <c r="U46" i="169"/>
  <c r="AQ88" i="161"/>
  <c r="AO28" i="161" s="1"/>
  <c r="AQ87" i="161"/>
  <c r="AQ25" i="161"/>
  <c r="B19" i="77"/>
  <c r="AQ86" i="161"/>
  <c r="J147" i="83"/>
  <c r="AQ32" i="150"/>
  <c r="AQ8" i="150"/>
  <c r="AQ31" i="150"/>
  <c r="AO26" i="150"/>
  <c r="B12" i="77"/>
  <c r="AQ30" i="150"/>
  <c r="AP7" i="154"/>
  <c r="AO9" i="154"/>
  <c r="AQ21" i="178"/>
  <c r="AO15" i="178"/>
  <c r="AQ20" i="178"/>
  <c r="AQ19" i="178"/>
  <c r="B30" i="77"/>
  <c r="AQ8" i="178"/>
  <c r="M148" i="83"/>
  <c r="L148" i="83"/>
  <c r="AO12" i="184" s="1"/>
  <c r="AQ24" i="151"/>
  <c r="AQ23" i="151"/>
  <c r="AQ22" i="151"/>
  <c r="AQ8" i="151"/>
  <c r="AO18" i="151"/>
  <c r="B13" i="77"/>
  <c r="AP6" i="173"/>
  <c r="AO9" i="173"/>
  <c r="J149" i="83"/>
  <c r="M149" i="83" s="1"/>
  <c r="AO10" i="184" s="1"/>
  <c r="AP10" i="184" s="1"/>
  <c r="AQ10" i="184" s="1"/>
  <c r="I21" i="77"/>
  <c r="K21" i="77" s="1"/>
  <c r="D21" i="77"/>
  <c r="AQ13" i="184"/>
  <c r="L46" i="76"/>
  <c r="L65" i="76" s="1"/>
  <c r="L81" i="76" s="1"/>
  <c r="AD58" i="68"/>
  <c r="AC60" i="68"/>
  <c r="AD60" i="68" s="1"/>
  <c r="AI56" i="68"/>
  <c r="AH57" i="68"/>
  <c r="AI57" i="68" s="1"/>
  <c r="I15" i="179"/>
  <c r="AH47" i="68"/>
  <c r="AD46" i="68"/>
  <c r="Y29" i="68"/>
  <c r="AC29" i="68"/>
  <c r="AD29" i="68" s="1"/>
  <c r="L24" i="162"/>
  <c r="M26" i="162" s="1"/>
  <c r="Z22" i="162"/>
  <c r="AC45" i="68"/>
  <c r="AD45" i="68" s="1"/>
  <c r="AD43" i="68"/>
  <c r="I46" i="169"/>
  <c r="AB28" i="68"/>
  <c r="AC28" i="68" s="1"/>
  <c r="AD28" i="68" s="1"/>
  <c r="AH52" i="68"/>
  <c r="AI52" i="68" s="1"/>
  <c r="AG55" i="68"/>
  <c r="AQ30" i="143"/>
  <c r="AG9" i="68"/>
  <c r="AH9" i="68" s="1"/>
  <c r="AI9" i="68" s="1"/>
  <c r="AG57" i="68"/>
  <c r="AG15" i="68"/>
  <c r="AH15" i="68" s="1"/>
  <c r="AI15" i="68" s="1"/>
  <c r="D11" i="77"/>
  <c r="I11" i="77"/>
  <c r="L11" i="77" s="1"/>
  <c r="I26" i="77"/>
  <c r="D26" i="77"/>
  <c r="D9" i="77"/>
  <c r="I9" i="77"/>
  <c r="K9" i="77" s="1"/>
  <c r="AP47" i="165"/>
  <c r="AQ47" i="165" s="1"/>
  <c r="AQ18" i="147"/>
  <c r="AG13" i="68"/>
  <c r="AH13" i="68" s="1"/>
  <c r="AI13" i="68" s="1"/>
  <c r="D24" i="77"/>
  <c r="AQ30" i="167"/>
  <c r="AG34" i="68"/>
  <c r="AH34" i="68" s="1"/>
  <c r="AI34" i="68" s="1"/>
  <c r="AM12" i="176"/>
  <c r="AG22" i="171"/>
  <c r="M11" i="165"/>
  <c r="I45" i="176"/>
  <c r="AD43" i="176"/>
  <c r="AI43" i="176"/>
  <c r="Q11" i="165"/>
  <c r="AD21" i="165"/>
  <c r="AI21" i="165"/>
  <c r="AI31" i="176"/>
  <c r="AD31" i="176"/>
  <c r="E45" i="165"/>
  <c r="T45" i="165"/>
  <c r="AI19" i="176"/>
  <c r="AD19" i="176"/>
  <c r="Q45" i="176"/>
  <c r="AI24" i="165"/>
  <c r="AD24" i="165"/>
  <c r="E14" i="176"/>
  <c r="Y45" i="176"/>
  <c r="AD42" i="165"/>
  <c r="AI42" i="165"/>
  <c r="AD29" i="176"/>
  <c r="AI29" i="176"/>
  <c r="AD32" i="176"/>
  <c r="AI32" i="176"/>
  <c r="M45" i="176"/>
  <c r="I11" i="165"/>
  <c r="T45" i="176"/>
  <c r="AD40" i="176"/>
  <c r="AI40" i="176"/>
  <c r="AD27" i="176"/>
  <c r="AD37" i="176"/>
  <c r="AI37" i="176"/>
  <c r="AD35" i="165"/>
  <c r="AI35" i="165"/>
  <c r="AD34" i="176"/>
  <c r="AI34" i="176"/>
  <c r="AI43" i="165"/>
  <c r="AD43" i="165"/>
  <c r="U45" i="176"/>
  <c r="AI22" i="165"/>
  <c r="AD22" i="165"/>
  <c r="H14" i="176"/>
  <c r="AI18" i="176"/>
  <c r="AD18" i="176"/>
  <c r="AI40" i="165"/>
  <c r="AD40" i="165"/>
  <c r="AD9" i="165"/>
  <c r="AI9" i="165"/>
  <c r="AD23" i="173"/>
  <c r="AI23" i="173"/>
  <c r="Y45" i="165"/>
  <c r="Y11" i="165"/>
  <c r="AI44" i="176"/>
  <c r="AD44" i="176"/>
  <c r="H11" i="165"/>
  <c r="AI38" i="176"/>
  <c r="AD38" i="176"/>
  <c r="X14" i="176"/>
  <c r="Q45" i="165"/>
  <c r="AI17" i="176"/>
  <c r="AB45" i="176"/>
  <c r="AD17" i="176"/>
  <c r="AD16" i="165"/>
  <c r="AI16" i="165"/>
  <c r="AC45" i="165"/>
  <c r="M9" i="173"/>
  <c r="Q14" i="176"/>
  <c r="X45" i="165"/>
  <c r="AD20" i="165"/>
  <c r="AI20" i="165"/>
  <c r="AD22" i="176"/>
  <c r="AB14" i="176"/>
  <c r="AI6" i="176"/>
  <c r="AD6" i="176"/>
  <c r="X11" i="165"/>
  <c r="AI36" i="165"/>
  <c r="AD36" i="165"/>
  <c r="AD41" i="165"/>
  <c r="AI41" i="165"/>
  <c r="AD35" i="176"/>
  <c r="AI35" i="176"/>
  <c r="AD31" i="165"/>
  <c r="AI31" i="165"/>
  <c r="AD23" i="176"/>
  <c r="AI23" i="176"/>
  <c r="D14" i="176"/>
  <c r="AD24" i="176"/>
  <c r="AI24" i="176"/>
  <c r="AI29" i="165"/>
  <c r="AD29" i="165"/>
  <c r="U14" i="176"/>
  <c r="U47" i="176" s="1"/>
  <c r="AB45" i="165"/>
  <c r="AI14" i="165"/>
  <c r="AD14" i="165"/>
  <c r="AI30" i="176"/>
  <c r="AD30" i="176"/>
  <c r="U11" i="165"/>
  <c r="T11" i="165"/>
  <c r="AI38" i="165"/>
  <c r="AD38" i="165"/>
  <c r="AI20" i="176"/>
  <c r="AD20" i="176"/>
  <c r="AD37" i="165"/>
  <c r="AI37" i="165"/>
  <c r="AD8" i="176"/>
  <c r="AI8" i="176"/>
  <c r="AD44" i="165"/>
  <c r="AI44" i="165"/>
  <c r="P45" i="165"/>
  <c r="AI26" i="176"/>
  <c r="AD26" i="176"/>
  <c r="AC45" i="176"/>
  <c r="H22" i="171"/>
  <c r="H24" i="171" s="1"/>
  <c r="E45" i="176"/>
  <c r="AI41" i="176"/>
  <c r="AD41" i="176"/>
  <c r="AC11" i="165"/>
  <c r="AC47" i="165" s="1"/>
  <c r="P11" i="165"/>
  <c r="AD32" i="165"/>
  <c r="AI32" i="165"/>
  <c r="AD39" i="165"/>
  <c r="AI39" i="165"/>
  <c r="AD26" i="165"/>
  <c r="AI26" i="165"/>
  <c r="M45" i="165"/>
  <c r="AB11" i="165"/>
  <c r="AI6" i="165"/>
  <c r="AD6" i="165"/>
  <c r="AI33" i="176"/>
  <c r="AD33" i="176"/>
  <c r="D45" i="176"/>
  <c r="AD12" i="176"/>
  <c r="X9" i="173"/>
  <c r="E22" i="171"/>
  <c r="E24" i="171" s="1"/>
  <c r="AI36" i="176"/>
  <c r="AD36" i="176"/>
  <c r="AD11" i="176"/>
  <c r="AI11" i="176"/>
  <c r="AD23" i="165"/>
  <c r="AI23" i="165"/>
  <c r="AI20" i="171"/>
  <c r="L45" i="165"/>
  <c r="X45" i="176"/>
  <c r="Z45" i="176" s="1"/>
  <c r="T22" i="171"/>
  <c r="T24" i="171" s="1"/>
  <c r="AB9" i="173"/>
  <c r="AD6" i="173"/>
  <c r="AI6" i="173"/>
  <c r="AI21" i="173"/>
  <c r="AD21" i="173"/>
  <c r="AI25" i="173"/>
  <c r="AD25" i="173"/>
  <c r="AC14" i="176"/>
  <c r="T9" i="173"/>
  <c r="I26" i="173"/>
  <c r="AI22" i="173"/>
  <c r="AD22" i="173"/>
  <c r="AI19" i="173"/>
  <c r="AD19" i="173"/>
  <c r="AI14" i="173"/>
  <c r="AD14" i="173"/>
  <c r="H9" i="173"/>
  <c r="AI7" i="165"/>
  <c r="AD7" i="165"/>
  <c r="AI15" i="171"/>
  <c r="E9" i="173"/>
  <c r="AC26" i="173"/>
  <c r="AD15" i="173"/>
  <c r="AI15" i="173"/>
  <c r="E26" i="173"/>
  <c r="M22" i="171"/>
  <c r="M24" i="171" s="1"/>
  <c r="D9" i="173"/>
  <c r="AI16" i="173"/>
  <c r="AD16" i="173"/>
  <c r="P26" i="173"/>
  <c r="H45" i="165"/>
  <c r="D45" i="165"/>
  <c r="I14" i="176"/>
  <c r="T14" i="176"/>
  <c r="AD28" i="165"/>
  <c r="AI28" i="165"/>
  <c r="AD33" i="165"/>
  <c r="AI33" i="165"/>
  <c r="AD18" i="165"/>
  <c r="AI18" i="165"/>
  <c r="L11" i="165"/>
  <c r="Y14" i="176"/>
  <c r="AI19" i="165"/>
  <c r="AD19" i="165"/>
  <c r="AD13" i="176"/>
  <c r="P14" i="176"/>
  <c r="AI39" i="176"/>
  <c r="AD39" i="176"/>
  <c r="AD30" i="165"/>
  <c r="AI30" i="165"/>
  <c r="M26" i="173"/>
  <c r="AI8" i="165"/>
  <c r="AD8" i="165"/>
  <c r="AI10" i="165"/>
  <c r="AD10" i="165"/>
  <c r="U22" i="171"/>
  <c r="U24" i="171" s="1"/>
  <c r="U45" i="165"/>
  <c r="I45" i="165"/>
  <c r="AD9" i="176"/>
  <c r="AI9" i="176"/>
  <c r="L45" i="176"/>
  <c r="AD18" i="173"/>
  <c r="AI18" i="173"/>
  <c r="AD7" i="176"/>
  <c r="AI15" i="165"/>
  <c r="AD15" i="165"/>
  <c r="M14" i="176"/>
  <c r="M47" i="176" s="1"/>
  <c r="P45" i="176"/>
  <c r="D11" i="165"/>
  <c r="H45" i="176"/>
  <c r="L14" i="176"/>
  <c r="AI10" i="176"/>
  <c r="AD10" i="176"/>
  <c r="AC22" i="171"/>
  <c r="AC24" i="171" s="1"/>
  <c r="E11" i="165"/>
  <c r="E47" i="165" s="1"/>
  <c r="AD25" i="176"/>
  <c r="AI25" i="176"/>
  <c r="AD12" i="173"/>
  <c r="AB26" i="173"/>
  <c r="AI12" i="173"/>
  <c r="AI25" i="165"/>
  <c r="AD25" i="165"/>
  <c r="T26" i="173"/>
  <c r="AI42" i="176"/>
  <c r="AD42" i="176"/>
  <c r="AI20" i="173"/>
  <c r="AD20" i="173"/>
  <c r="AB22" i="171"/>
  <c r="Y26" i="173"/>
  <c r="AI17" i="173"/>
  <c r="AD17" i="173"/>
  <c r="U26" i="173"/>
  <c r="Y9" i="173"/>
  <c r="AI16" i="171"/>
  <c r="Y22" i="171"/>
  <c r="Y24" i="171" s="1"/>
  <c r="I9" i="173"/>
  <c r="I28" i="173" s="1"/>
  <c r="H26" i="173"/>
  <c r="P9" i="173"/>
  <c r="P28" i="173" s="1"/>
  <c r="Q26" i="173"/>
  <c r="AC9" i="173"/>
  <c r="P22" i="171"/>
  <c r="P24" i="171" s="1"/>
  <c r="D26" i="173"/>
  <c r="AI12" i="176"/>
  <c r="AG14" i="176"/>
  <c r="AM14" i="176" s="1"/>
  <c r="AQ12" i="176"/>
  <c r="D22" i="171"/>
  <c r="D24" i="171" s="1"/>
  <c r="E26" i="171" s="1"/>
  <c r="L26" i="173"/>
  <c r="U9" i="173"/>
  <c r="U28" i="173" s="1"/>
  <c r="AD7" i="173"/>
  <c r="AI7" i="173"/>
  <c r="L9" i="173"/>
  <c r="I22" i="171"/>
  <c r="I24" i="171" s="1"/>
  <c r="L22" i="171"/>
  <c r="L24" i="171" s="1"/>
  <c r="M26" i="171" s="1"/>
  <c r="AI14" i="171"/>
  <c r="AI12" i="171"/>
  <c r="AI24" i="173"/>
  <c r="AD24" i="173"/>
  <c r="X26" i="173"/>
  <c r="AI8" i="173"/>
  <c r="AD8" i="173"/>
  <c r="X22" i="171"/>
  <c r="Q22" i="171"/>
  <c r="Q24" i="171" s="1"/>
  <c r="Q9" i="173"/>
  <c r="Q28" i="173" s="1"/>
  <c r="AI11" i="171"/>
  <c r="AP21" i="171"/>
  <c r="AP24" i="162"/>
  <c r="AQ24" i="162" s="1"/>
  <c r="Y47" i="165"/>
  <c r="AM47" i="160"/>
  <c r="AH49" i="160"/>
  <c r="AQ47" i="160"/>
  <c r="AG27" i="68"/>
  <c r="AH27" i="68" s="1"/>
  <c r="AI27" i="68" s="1"/>
  <c r="J45" i="160"/>
  <c r="AQ44" i="169"/>
  <c r="AG38" i="68"/>
  <c r="AG42" i="68" s="1"/>
  <c r="P47" i="176"/>
  <c r="U24" i="162"/>
  <c r="U26" i="162" s="1"/>
  <c r="AC24" i="162"/>
  <c r="AC26" i="162" s="1"/>
  <c r="AM75" i="161"/>
  <c r="R47" i="160"/>
  <c r="Q26" i="162"/>
  <c r="R24" i="162"/>
  <c r="V47" i="160"/>
  <c r="AD44" i="169"/>
  <c r="AI44" i="169"/>
  <c r="AC46" i="169"/>
  <c r="AI24" i="162"/>
  <c r="AD24" i="162"/>
  <c r="V24" i="162"/>
  <c r="N47" i="160"/>
  <c r="M49" i="160"/>
  <c r="Y26" i="162"/>
  <c r="Z24" i="162"/>
  <c r="AP47" i="160"/>
  <c r="Q46" i="169"/>
  <c r="Z47" i="160"/>
  <c r="Y49" i="160"/>
  <c r="AD13" i="179"/>
  <c r="AI13" i="179"/>
  <c r="AC15" i="179"/>
  <c r="AI16" i="170"/>
  <c r="AD16" i="170"/>
  <c r="AC18" i="170"/>
  <c r="Y46" i="169"/>
  <c r="Z44" i="169"/>
  <c r="W27" i="68"/>
  <c r="AC27" i="68" s="1"/>
  <c r="AD27" i="68" s="1"/>
  <c r="AI47" i="160"/>
  <c r="Y15" i="179"/>
  <c r="Z13" i="179"/>
  <c r="I49" i="160"/>
  <c r="J47" i="160"/>
  <c r="AD47" i="160"/>
  <c r="J24" i="162"/>
  <c r="I26" i="162"/>
  <c r="N24" i="162"/>
  <c r="E26" i="162"/>
  <c r="E49" i="160"/>
  <c r="L28" i="173" l="1"/>
  <c r="Z16" i="170"/>
  <c r="H28" i="173"/>
  <c r="I30" i="173" s="1"/>
  <c r="D4" i="77"/>
  <c r="I20" i="77"/>
  <c r="L20" i="77" s="1"/>
  <c r="D20" i="77"/>
  <c r="AQ26" i="152"/>
  <c r="B14" i="77"/>
  <c r="AO20" i="152"/>
  <c r="AQ24" i="152"/>
  <c r="AQ8" i="152"/>
  <c r="AQ25" i="152"/>
  <c r="AC28" i="173"/>
  <c r="I7" i="77"/>
  <c r="K7" i="77" s="1"/>
  <c r="AC20" i="68"/>
  <c r="AD20" i="68" s="1"/>
  <c r="Y20" i="68"/>
  <c r="AC63" i="68"/>
  <c r="W25" i="68"/>
  <c r="Z45" i="165"/>
  <c r="AG11" i="68"/>
  <c r="AH11" i="68" s="1"/>
  <c r="AI11" i="68" s="1"/>
  <c r="AQ25" i="145"/>
  <c r="AD7" i="68"/>
  <c r="AC25" i="68"/>
  <c r="AD25" i="68" s="1"/>
  <c r="T47" i="176"/>
  <c r="U49" i="176" s="1"/>
  <c r="T47" i="165"/>
  <c r="AG5" i="68"/>
  <c r="AH5" i="68" s="1"/>
  <c r="AQ12" i="175"/>
  <c r="AQ50" i="175"/>
  <c r="AO44" i="175"/>
  <c r="AQ48" i="175"/>
  <c r="B28" i="77"/>
  <c r="AQ49" i="175"/>
  <c r="D8" i="77"/>
  <c r="I8" i="77"/>
  <c r="K8" i="77" s="1"/>
  <c r="AQ8" i="144"/>
  <c r="AP22" i="144"/>
  <c r="AQ22" i="144" s="1"/>
  <c r="D47" i="165"/>
  <c r="E49" i="165" s="1"/>
  <c r="L47" i="165"/>
  <c r="P47" i="165"/>
  <c r="AQ28" i="161"/>
  <c r="AP28" i="161"/>
  <c r="I19" i="77"/>
  <c r="B32" i="77"/>
  <c r="D19" i="77"/>
  <c r="D32" i="77" s="1"/>
  <c r="AP12" i="184"/>
  <c r="L149" i="83"/>
  <c r="AQ6" i="173"/>
  <c r="AP9" i="173"/>
  <c r="AQ18" i="151"/>
  <c r="AG17" i="68"/>
  <c r="D30" i="77"/>
  <c r="I30" i="77"/>
  <c r="K30" i="77" s="1"/>
  <c r="AP9" i="154"/>
  <c r="AQ7" i="154"/>
  <c r="D12" i="77"/>
  <c r="I12" i="77"/>
  <c r="K12" i="77" s="1"/>
  <c r="AQ34" i="173"/>
  <c r="AQ32" i="173"/>
  <c r="AQ33" i="173"/>
  <c r="B27" i="77"/>
  <c r="AO28" i="173"/>
  <c r="AG43" i="68" s="1"/>
  <c r="D13" i="77"/>
  <c r="I13" i="77"/>
  <c r="K13" i="77" s="1"/>
  <c r="AQ15" i="178"/>
  <c r="AG49" i="68"/>
  <c r="AO43" i="154"/>
  <c r="AG20" i="68" s="1"/>
  <c r="AH20" i="68" s="1"/>
  <c r="AI20" i="68" s="1"/>
  <c r="AQ48" i="154"/>
  <c r="AQ49" i="154"/>
  <c r="AQ47" i="154"/>
  <c r="B16" i="77"/>
  <c r="AG16" i="68"/>
  <c r="AH16" i="68" s="1"/>
  <c r="AI16" i="68" s="1"/>
  <c r="AQ26" i="150"/>
  <c r="AI47" i="68"/>
  <c r="Z26" i="173"/>
  <c r="AH38" i="68"/>
  <c r="AI38" i="68" s="1"/>
  <c r="AI5" i="68"/>
  <c r="Y47" i="176"/>
  <c r="I47" i="176"/>
  <c r="AC47" i="176"/>
  <c r="Q47" i="176"/>
  <c r="Q49" i="176" s="1"/>
  <c r="Y28" i="173"/>
  <c r="AI22" i="171"/>
  <c r="AM22" i="171"/>
  <c r="AP22" i="171"/>
  <c r="AQ14" i="176"/>
  <c r="Z9" i="173"/>
  <c r="X28" i="173"/>
  <c r="AI45" i="165"/>
  <c r="AD45" i="165"/>
  <c r="AB47" i="176"/>
  <c r="AD14" i="176"/>
  <c r="X47" i="176"/>
  <c r="Z14" i="176"/>
  <c r="Q30" i="173"/>
  <c r="D28" i="173"/>
  <c r="U26" i="171"/>
  <c r="I26" i="171"/>
  <c r="D47" i="176"/>
  <c r="H47" i="165"/>
  <c r="I47" i="165"/>
  <c r="M47" i="165"/>
  <c r="M49" i="165" s="1"/>
  <c r="AG24" i="171"/>
  <c r="Z22" i="171"/>
  <c r="X24" i="171"/>
  <c r="AG47" i="176"/>
  <c r="AM47" i="176" s="1"/>
  <c r="AI14" i="176"/>
  <c r="AD22" i="171"/>
  <c r="AB24" i="171"/>
  <c r="AD26" i="173"/>
  <c r="AI26" i="173"/>
  <c r="AI9" i="173"/>
  <c r="AD9" i="173"/>
  <c r="AB28" i="173"/>
  <c r="AI11" i="165"/>
  <c r="AD11" i="165"/>
  <c r="AB47" i="165"/>
  <c r="X47" i="165"/>
  <c r="Z11" i="165"/>
  <c r="AD45" i="176"/>
  <c r="AI45" i="176"/>
  <c r="Q26" i="171"/>
  <c r="L47" i="176"/>
  <c r="M49" i="176" s="1"/>
  <c r="E28" i="173"/>
  <c r="T28" i="173"/>
  <c r="U30" i="173" s="1"/>
  <c r="U47" i="165"/>
  <c r="M28" i="173"/>
  <c r="M30" i="173" s="1"/>
  <c r="H47" i="176"/>
  <c r="I49" i="176" s="1"/>
  <c r="E47" i="176"/>
  <c r="Q47" i="165"/>
  <c r="Q49" i="165" s="1"/>
  <c r="Y27" i="68"/>
  <c r="D14" i="77" l="1"/>
  <c r="I14" i="77"/>
  <c r="L14" i="77" s="1"/>
  <c r="AG18" i="68"/>
  <c r="AH18" i="68" s="1"/>
  <c r="AI18" i="68" s="1"/>
  <c r="AQ20" i="152"/>
  <c r="U49" i="165"/>
  <c r="AQ44" i="175"/>
  <c r="AG46" i="68"/>
  <c r="AH46" i="68" s="1"/>
  <c r="AI46" i="68" s="1"/>
  <c r="D28" i="77"/>
  <c r="I28" i="77"/>
  <c r="K28" i="77" s="1"/>
  <c r="K31" i="77" s="1"/>
  <c r="AH17" i="68"/>
  <c r="AI17" i="68" s="1"/>
  <c r="AG25" i="68"/>
  <c r="B40" i="77"/>
  <c r="B42" i="77"/>
  <c r="B41" i="77"/>
  <c r="AQ12" i="184"/>
  <c r="I16" i="77"/>
  <c r="I31" i="77" s="1"/>
  <c r="D16" i="77"/>
  <c r="D27" i="77"/>
  <c r="I27" i="77"/>
  <c r="L27" i="77" s="1"/>
  <c r="L31" i="77" s="1"/>
  <c r="AQ9" i="173"/>
  <c r="AP28" i="173"/>
  <c r="AQ28" i="173" s="1"/>
  <c r="AH25" i="68"/>
  <c r="AI25" i="68" s="1"/>
  <c r="B31" i="77"/>
  <c r="B33" i="77" s="1"/>
  <c r="AH49" i="68"/>
  <c r="AH43" i="68"/>
  <c r="AG45" i="68"/>
  <c r="AP43" i="154"/>
  <c r="AQ43" i="154" s="1"/>
  <c r="AQ9" i="154"/>
  <c r="Y13" i="187"/>
  <c r="T13" i="187"/>
  <c r="T15" i="187" s="1"/>
  <c r="I13" i="187"/>
  <c r="AC14" i="183"/>
  <c r="H13" i="187"/>
  <c r="H15" i="187" s="1"/>
  <c r="AH12" i="183"/>
  <c r="U13" i="187"/>
  <c r="P13" i="187"/>
  <c r="P15" i="187" s="1"/>
  <c r="L13" i="187"/>
  <c r="L15" i="187" s="1"/>
  <c r="D13" i="187"/>
  <c r="D15" i="187" s="1"/>
  <c r="AC13" i="187"/>
  <c r="Q13" i="187"/>
  <c r="M13" i="187"/>
  <c r="E13" i="187"/>
  <c r="E15" i="187" s="1"/>
  <c r="X13" i="187"/>
  <c r="X15" i="187" s="1"/>
  <c r="AG63" i="68"/>
  <c r="AH63" i="68" s="1"/>
  <c r="AI24" i="171"/>
  <c r="AM24" i="171"/>
  <c r="Z47" i="165"/>
  <c r="Y49" i="165"/>
  <c r="AI28" i="173"/>
  <c r="AD28" i="173"/>
  <c r="AC30" i="173"/>
  <c r="AI47" i="176"/>
  <c r="AH49" i="176"/>
  <c r="W47" i="68"/>
  <c r="AC47" i="68" s="1"/>
  <c r="Z47" i="176"/>
  <c r="Y49" i="176"/>
  <c r="AC49" i="176"/>
  <c r="AD47" i="176"/>
  <c r="Y30" i="173"/>
  <c r="Z28" i="173"/>
  <c r="E49" i="176"/>
  <c r="E30" i="173"/>
  <c r="AC49" i="165"/>
  <c r="AI47" i="165"/>
  <c r="AD47" i="165"/>
  <c r="AD24" i="171"/>
  <c r="AC26" i="171"/>
  <c r="Y26" i="171"/>
  <c r="Z24" i="171"/>
  <c r="W40" i="68"/>
  <c r="AC40" i="68" s="1"/>
  <c r="AD40" i="68" s="1"/>
  <c r="AH26" i="171"/>
  <c r="AQ47" i="176"/>
  <c r="AP24" i="171"/>
  <c r="I49" i="165"/>
  <c r="AG51" i="68" l="1"/>
  <c r="D31" i="77"/>
  <c r="E25" i="77" s="1"/>
  <c r="G25" i="77" s="1"/>
  <c r="E4" i="77"/>
  <c r="G4" i="77" s="1"/>
  <c r="E14" i="77"/>
  <c r="G14" i="77" s="1"/>
  <c r="AH45" i="68"/>
  <c r="AI45" i="68" s="1"/>
  <c r="AI43" i="68"/>
  <c r="AI49" i="68"/>
  <c r="AH51" i="68"/>
  <c r="AI51" i="68" s="1"/>
  <c r="E27" i="77"/>
  <c r="G27" i="77" s="1"/>
  <c r="AD47" i="68"/>
  <c r="AC51" i="68"/>
  <c r="N13" i="187"/>
  <c r="M15" i="187"/>
  <c r="R13" i="187"/>
  <c r="Q15" i="187"/>
  <c r="V13" i="187"/>
  <c r="U15" i="187"/>
  <c r="R12" i="183"/>
  <c r="Z13" i="187"/>
  <c r="Y15" i="187"/>
  <c r="E17" i="187"/>
  <c r="E16" i="183"/>
  <c r="AC15" i="187"/>
  <c r="AD13" i="187"/>
  <c r="Z12" i="183"/>
  <c r="AD12" i="183"/>
  <c r="AB14" i="183"/>
  <c r="AH14" i="183" s="1"/>
  <c r="I15" i="187"/>
  <c r="J13" i="187"/>
  <c r="V12" i="183"/>
  <c r="J12" i="183"/>
  <c r="N12" i="183"/>
  <c r="Y17" i="187"/>
  <c r="W42" i="68"/>
  <c r="Y40" i="68"/>
  <c r="W51" i="68"/>
  <c r="Y47" i="68"/>
  <c r="E26" i="77" l="1"/>
  <c r="G26" i="77" s="1"/>
  <c r="V15" i="187"/>
  <c r="E23" i="77"/>
  <c r="G23" i="77" s="1"/>
  <c r="AQ54" i="165" s="1"/>
  <c r="AQ56" i="165" s="1"/>
  <c r="E9" i="77"/>
  <c r="G9" i="77" s="1"/>
  <c r="AQ26" i="147" s="1"/>
  <c r="AQ28" i="147" s="1"/>
  <c r="E24" i="77"/>
  <c r="G24" i="77" s="1"/>
  <c r="E16" i="77"/>
  <c r="G16" i="77" s="1"/>
  <c r="E20" i="77"/>
  <c r="G20" i="77" s="1"/>
  <c r="E8" i="77"/>
  <c r="G8" i="77" s="1"/>
  <c r="G31" i="77" s="1"/>
  <c r="E5" i="77"/>
  <c r="G5" i="77" s="1"/>
  <c r="AQ28" i="141" s="1"/>
  <c r="AQ30" i="141" s="1"/>
  <c r="U17" i="187"/>
  <c r="E19" i="77"/>
  <c r="G19" i="77" s="1"/>
  <c r="G32" i="77" s="1"/>
  <c r="E21" i="77"/>
  <c r="G21" i="77" s="1"/>
  <c r="AQ28" i="163" s="1"/>
  <c r="AQ30" i="163" s="1"/>
  <c r="E17" i="77"/>
  <c r="G17" i="77" s="1"/>
  <c r="AQ62" i="159" s="1"/>
  <c r="AQ64" i="159" s="1"/>
  <c r="E30" i="77"/>
  <c r="G30" i="77" s="1"/>
  <c r="E28" i="77"/>
  <c r="G28" i="77" s="1"/>
  <c r="E13" i="77"/>
  <c r="G13" i="77" s="1"/>
  <c r="D33" i="77"/>
  <c r="E15" i="77"/>
  <c r="G15" i="77" s="1"/>
  <c r="E18" i="77"/>
  <c r="G18" i="77" s="1"/>
  <c r="E29" i="77"/>
  <c r="G29" i="77" s="1"/>
  <c r="AQ54" i="176" s="1"/>
  <c r="AQ56" i="176" s="1"/>
  <c r="E12" i="77"/>
  <c r="G12" i="77" s="1"/>
  <c r="E6" i="77"/>
  <c r="G6" i="77" s="1"/>
  <c r="E7" i="77"/>
  <c r="G7" i="77" s="1"/>
  <c r="E10" i="77"/>
  <c r="G10" i="77" s="1"/>
  <c r="AQ36" i="148" s="1"/>
  <c r="AQ38" i="148" s="1"/>
  <c r="E22" i="77"/>
  <c r="G22" i="77" s="1"/>
  <c r="E11" i="77"/>
  <c r="G11" i="77" s="1"/>
  <c r="AQ51" i="175"/>
  <c r="AQ53" i="175" s="1"/>
  <c r="AQ25" i="151"/>
  <c r="AQ27" i="151" s="1"/>
  <c r="AQ35" i="173"/>
  <c r="AQ38" i="173" s="1"/>
  <c r="AQ50" i="154"/>
  <c r="AQ52" i="154" s="1"/>
  <c r="AQ33" i="172"/>
  <c r="AQ35" i="172" s="1"/>
  <c r="AQ31" i="162"/>
  <c r="AQ33" i="162" s="1"/>
  <c r="AQ27" i="152"/>
  <c r="AQ29" i="152" s="1"/>
  <c r="AQ32" i="145"/>
  <c r="AQ34" i="145" s="1"/>
  <c r="AQ38" i="139"/>
  <c r="AQ41" i="139" s="1"/>
  <c r="AQ37" i="167"/>
  <c r="AQ39" i="167" s="1"/>
  <c r="AQ22" i="178"/>
  <c r="AQ24" i="178" s="1"/>
  <c r="AQ25" i="153"/>
  <c r="AQ27" i="153" s="1"/>
  <c r="AQ54" i="160"/>
  <c r="AQ56" i="160" s="1"/>
  <c r="AQ33" i="150"/>
  <c r="AQ35" i="150" s="1"/>
  <c r="AQ36" i="143"/>
  <c r="AQ39" i="143" s="1"/>
  <c r="AQ30" i="144"/>
  <c r="AQ32" i="144" s="1"/>
  <c r="AQ27" i="164"/>
  <c r="AQ29" i="164" s="1"/>
  <c r="AP27" i="149"/>
  <c r="AP29" i="149" s="1"/>
  <c r="AQ51" i="169"/>
  <c r="AQ53" i="169" s="1"/>
  <c r="AO31" i="161"/>
  <c r="AD51" i="68"/>
  <c r="N14" i="183"/>
  <c r="M16" i="183"/>
  <c r="I17" i="187"/>
  <c r="J15" i="187"/>
  <c r="AC17" i="187"/>
  <c r="AD15" i="187"/>
  <c r="Q16" i="183"/>
  <c r="R14" i="183"/>
  <c r="R15" i="187"/>
  <c r="Q17" i="187"/>
  <c r="M17" i="187"/>
  <c r="N15" i="187"/>
  <c r="J14" i="183"/>
  <c r="I16" i="183"/>
  <c r="U16" i="183"/>
  <c r="V14" i="183"/>
  <c r="AC16" i="183"/>
  <c r="AD14" i="183"/>
  <c r="Y16" i="183"/>
  <c r="Z14" i="183"/>
  <c r="Z15" i="187"/>
  <c r="Y51" i="68"/>
  <c r="Y42" i="68"/>
  <c r="AQ89" i="161" l="1"/>
  <c r="AQ91" i="161" s="1"/>
  <c r="AO32" i="161"/>
  <c r="AO73" i="161" s="1"/>
  <c r="AQ31" i="161"/>
  <c r="AP31" i="161"/>
  <c r="G33" i="77"/>
  <c r="AF37" i="181"/>
  <c r="AF24" i="161"/>
  <c r="AF13" i="152"/>
  <c r="AL23" i="172"/>
  <c r="AG35" i="181"/>
  <c r="AF24" i="174"/>
  <c r="AF15" i="151"/>
  <c r="AK23" i="172"/>
  <c r="AF21" i="171"/>
  <c r="AF13" i="160"/>
  <c r="AF25" i="174"/>
  <c r="AK37" i="181"/>
  <c r="AF14" i="152"/>
  <c r="AK35" i="181"/>
  <c r="AF35" i="181"/>
  <c r="AO17" i="184" l="1"/>
  <c r="AP17" i="184" s="1"/>
  <c r="AO24" i="184"/>
  <c r="AO26" i="184" s="1"/>
  <c r="AG58" i="68" s="1"/>
  <c r="AO75" i="161"/>
  <c r="AQ73" i="161"/>
  <c r="AP32" i="161"/>
  <c r="AQ32" i="161"/>
  <c r="AP73" i="161"/>
  <c r="AP75" i="161" s="1"/>
  <c r="AF44" i="157"/>
  <c r="T9" i="68"/>
  <c r="Z9" i="68"/>
  <c r="AB24" i="172"/>
  <c r="AK30" i="68"/>
  <c r="AL30" i="68" s="1"/>
  <c r="AM30" i="68" s="1"/>
  <c r="U44" i="157"/>
  <c r="X44" i="157"/>
  <c r="P24" i="172"/>
  <c r="P26" i="172" s="1"/>
  <c r="E38" i="181"/>
  <c r="E40" i="181" s="1"/>
  <c r="I44" i="157"/>
  <c r="AF22" i="171"/>
  <c r="AF24" i="171" s="1"/>
  <c r="AK20" i="68"/>
  <c r="AL20" i="68" s="1"/>
  <c r="AM20" i="68" s="1"/>
  <c r="T44" i="157"/>
  <c r="H24" i="172"/>
  <c r="H26" i="172" s="1"/>
  <c r="AC18" i="164"/>
  <c r="AC20" i="164" s="1"/>
  <c r="Y18" i="164"/>
  <c r="Y20" i="164" s="1"/>
  <c r="AK7" i="68"/>
  <c r="AL7" i="68" s="1"/>
  <c r="AM7" i="68" s="1"/>
  <c r="D55" i="68"/>
  <c r="AO52" i="68"/>
  <c r="R42" i="68"/>
  <c r="I38" i="181"/>
  <c r="I40" i="181" s="1"/>
  <c r="U24" i="172"/>
  <c r="U26" i="172" s="1"/>
  <c r="AK40" i="68"/>
  <c r="AL40" i="68" s="1"/>
  <c r="AM40" i="68" s="1"/>
  <c r="AK9" i="68"/>
  <c r="AL9" i="68" s="1"/>
  <c r="AM9" i="68" s="1"/>
  <c r="H38" i="181"/>
  <c r="AK36" i="68"/>
  <c r="L37" i="68"/>
  <c r="X38" i="181"/>
  <c r="X23" i="187"/>
  <c r="X25" i="187" s="1"/>
  <c r="X31" i="187" s="1"/>
  <c r="D24" i="172"/>
  <c r="D26" i="172" s="1"/>
  <c r="AK14" i="68"/>
  <c r="AL14" i="68" s="1"/>
  <c r="AM14" i="68" s="1"/>
  <c r="T31" i="68"/>
  <c r="I18" i="164"/>
  <c r="I20" i="164" s="1"/>
  <c r="AO37" i="181"/>
  <c r="E24" i="172"/>
  <c r="E26" i="172" s="1"/>
  <c r="Z5" i="68"/>
  <c r="T5" i="68"/>
  <c r="L24" i="172"/>
  <c r="L26" i="172" s="1"/>
  <c r="I24" i="172"/>
  <c r="I26" i="172" s="1"/>
  <c r="AK53" i="68"/>
  <c r="AL53" i="68" s="1"/>
  <c r="AM53" i="68" s="1"/>
  <c r="AG38" i="181"/>
  <c r="AI35" i="181"/>
  <c r="AO35" i="181"/>
  <c r="AF14" i="160"/>
  <c r="AF47" i="160" s="1"/>
  <c r="M42" i="68"/>
  <c r="AK39" i="68"/>
  <c r="AL39" i="68" s="1"/>
  <c r="AM39" i="68" s="1"/>
  <c r="AK47" i="68"/>
  <c r="AL47" i="68" s="1"/>
  <c r="AM47" i="68" s="1"/>
  <c r="H42" i="68"/>
  <c r="E44" i="157"/>
  <c r="M44" i="157"/>
  <c r="AK33" i="68"/>
  <c r="AL33" i="68" s="1"/>
  <c r="AM33" i="68" s="1"/>
  <c r="AK54" i="68"/>
  <c r="AL54" i="68" s="1"/>
  <c r="AM54" i="68" s="1"/>
  <c r="AO12" i="68"/>
  <c r="AP12" i="68" s="1"/>
  <c r="AQ12" i="68" s="1"/>
  <c r="T39" i="68"/>
  <c r="Z39" i="68"/>
  <c r="E55" i="68"/>
  <c r="M51" i="68"/>
  <c r="Z27" i="68"/>
  <c r="T27" i="68"/>
  <c r="T49" i="68"/>
  <c r="Z49" i="68"/>
  <c r="E18" i="164"/>
  <c r="E20" i="164" s="1"/>
  <c r="AO46" i="68"/>
  <c r="D51" i="68"/>
  <c r="T32" i="68"/>
  <c r="Z32" i="68"/>
  <c r="T18" i="164"/>
  <c r="T20" i="164" s="1"/>
  <c r="AF13" i="182"/>
  <c r="AL12" i="182"/>
  <c r="R60" i="68"/>
  <c r="AK6" i="68"/>
  <c r="AL6" i="68" s="1"/>
  <c r="AM6" i="68" s="1"/>
  <c r="M60" i="68"/>
  <c r="E60" i="68"/>
  <c r="Z53" i="68"/>
  <c r="T53" i="68"/>
  <c r="E51" i="68"/>
  <c r="F51" i="68" s="1"/>
  <c r="L35" i="68"/>
  <c r="AK26" i="68"/>
  <c r="AL26" i="68" s="1"/>
  <c r="AM26" i="68" s="1"/>
  <c r="AO31" i="68"/>
  <c r="AP31" i="68" s="1"/>
  <c r="AQ31" i="68" s="1"/>
  <c r="T23" i="187"/>
  <c r="T25" i="187" s="1"/>
  <c r="AO44" i="68"/>
  <c r="AP44" i="68" s="1"/>
  <c r="AQ44" i="68" s="1"/>
  <c r="AO41" i="68"/>
  <c r="AP41" i="68" s="1"/>
  <c r="AQ41" i="68" s="1"/>
  <c r="Z28" i="68"/>
  <c r="T28" i="68"/>
  <c r="T47" i="68"/>
  <c r="Z47" i="68"/>
  <c r="AK18" i="164"/>
  <c r="I51" i="68"/>
  <c r="Y23" i="187"/>
  <c r="AK24" i="68"/>
  <c r="AL24" i="68" s="1"/>
  <c r="AM24" i="68" s="1"/>
  <c r="Q35" i="68"/>
  <c r="Z26" i="68"/>
  <c r="T26" i="68"/>
  <c r="AO17" i="68"/>
  <c r="AP17" i="68" s="1"/>
  <c r="AQ17" i="68" s="1"/>
  <c r="I60" i="68"/>
  <c r="AO32" i="68"/>
  <c r="AP32" i="68" s="1"/>
  <c r="AQ32" i="68" s="1"/>
  <c r="Q38" i="181"/>
  <c r="Q40" i="181" s="1"/>
  <c r="H13" i="182"/>
  <c r="H15" i="182" s="1"/>
  <c r="AO9" i="68"/>
  <c r="AP9" i="68" s="1"/>
  <c r="AQ9" i="68" s="1"/>
  <c r="M55" i="68"/>
  <c r="T34" i="68"/>
  <c r="Z34" i="68"/>
  <c r="U13" i="182"/>
  <c r="U15" i="182" s="1"/>
  <c r="T8" i="68"/>
  <c r="Z8" i="68"/>
  <c r="E13" i="182"/>
  <c r="E15" i="182" s="1"/>
  <c r="AO24" i="68"/>
  <c r="AP24" i="68" s="1"/>
  <c r="AQ24" i="68" s="1"/>
  <c r="P18" i="164"/>
  <c r="P20" i="164" s="1"/>
  <c r="AF18" i="152"/>
  <c r="AF20" i="152" s="1"/>
  <c r="I23" i="187"/>
  <c r="Z48" i="68"/>
  <c r="T48" i="68"/>
  <c r="AO48" i="68"/>
  <c r="AP48" i="68" s="1"/>
  <c r="AQ48" i="68" s="1"/>
  <c r="E25" i="68"/>
  <c r="AO7" i="68"/>
  <c r="AP7" i="68" s="1"/>
  <c r="AQ7" i="68" s="1"/>
  <c r="AO40" i="68"/>
  <c r="AP40" i="68" s="1"/>
  <c r="AQ40" i="68" s="1"/>
  <c r="Z19" i="68"/>
  <c r="T19" i="68"/>
  <c r="T24" i="172"/>
  <c r="T26" i="172" s="1"/>
  <c r="U28" i="172" s="1"/>
  <c r="T36" i="68"/>
  <c r="Q37" i="68"/>
  <c r="Z36" i="68"/>
  <c r="T58" i="68"/>
  <c r="Q60" i="68"/>
  <c r="Z58" i="68"/>
  <c r="AO33" i="68"/>
  <c r="AP33" i="68" s="1"/>
  <c r="AQ33" i="68" s="1"/>
  <c r="AK10" i="68"/>
  <c r="AL10" i="68" s="1"/>
  <c r="AM10" i="68" s="1"/>
  <c r="R57" i="68"/>
  <c r="AO8" i="68"/>
  <c r="AP8" i="68" s="1"/>
  <c r="AQ8" i="68" s="1"/>
  <c r="AK13" i="68"/>
  <c r="AL13" i="68" s="1"/>
  <c r="AM13" i="68" s="1"/>
  <c r="Z12" i="68"/>
  <c r="T12" i="68"/>
  <c r="AK32" i="68"/>
  <c r="AL32" i="68" s="1"/>
  <c r="AM32" i="68" s="1"/>
  <c r="AO16" i="68"/>
  <c r="AP16" i="68" s="1"/>
  <c r="AQ16" i="68" s="1"/>
  <c r="L38" i="181"/>
  <c r="L40" i="181" s="1"/>
  <c r="AK19" i="68"/>
  <c r="AL19" i="68" s="1"/>
  <c r="AM19" i="68" s="1"/>
  <c r="AO14" i="68"/>
  <c r="AP14" i="68" s="1"/>
  <c r="AQ14" i="68" s="1"/>
  <c r="AK5" i="68"/>
  <c r="AL5" i="68" s="1"/>
  <c r="AM5" i="68" s="1"/>
  <c r="M35" i="68"/>
  <c r="Z33" i="68"/>
  <c r="T33" i="68"/>
  <c r="D35" i="68"/>
  <c r="AO26" i="68"/>
  <c r="AP26" i="68" s="1"/>
  <c r="AQ26" i="68" s="1"/>
  <c r="AB38" i="181"/>
  <c r="P38" i="181"/>
  <c r="P40" i="181" s="1"/>
  <c r="Q44" i="157"/>
  <c r="L18" i="164"/>
  <c r="L20" i="164" s="1"/>
  <c r="Z43" i="68"/>
  <c r="T43" i="68"/>
  <c r="T38" i="181"/>
  <c r="T40" i="181" s="1"/>
  <c r="AC38" i="181"/>
  <c r="AC40" i="181" s="1"/>
  <c r="AK41" i="68"/>
  <c r="AL41" i="68" s="1"/>
  <c r="AM41" i="68" s="1"/>
  <c r="AK29" i="68"/>
  <c r="AL29" i="68" s="1"/>
  <c r="AM29" i="68" s="1"/>
  <c r="H37" i="68"/>
  <c r="R51" i="68"/>
  <c r="AK49" i="68"/>
  <c r="AL49" i="68" s="1"/>
  <c r="AM49" i="68" s="1"/>
  <c r="M13" i="182"/>
  <c r="M15" i="182" s="1"/>
  <c r="AO30" i="68"/>
  <c r="AP30" i="68" s="1"/>
  <c r="AQ30" i="68" s="1"/>
  <c r="AK16" i="68"/>
  <c r="AL16" i="68" s="1"/>
  <c r="AM16" i="68" s="1"/>
  <c r="T16" i="68"/>
  <c r="Z16" i="68"/>
  <c r="AF25" i="161"/>
  <c r="AF75" i="161" s="1"/>
  <c r="E37" i="68"/>
  <c r="AC24" i="172"/>
  <c r="AC26" i="172" s="1"/>
  <c r="AK17" i="68"/>
  <c r="AL17" i="68" s="1"/>
  <c r="AM17" i="68" s="1"/>
  <c r="T20" i="68"/>
  <c r="Z20" i="68"/>
  <c r="M38" i="181"/>
  <c r="M40" i="181" s="1"/>
  <c r="M63" i="68"/>
  <c r="L55" i="68"/>
  <c r="AK52" i="68"/>
  <c r="D57" i="68"/>
  <c r="AO56" i="68"/>
  <c r="H60" i="68"/>
  <c r="AK43" i="68"/>
  <c r="Y38" i="181"/>
  <c r="Y40" i="181" s="1"/>
  <c r="AO43" i="68"/>
  <c r="Z23" i="68"/>
  <c r="T23" i="68"/>
  <c r="AO18" i="68"/>
  <c r="AP18" i="68" s="1"/>
  <c r="AQ18" i="68" s="1"/>
  <c r="D63" i="68"/>
  <c r="T13" i="182"/>
  <c r="T15" i="182" s="1"/>
  <c r="AK48" i="68"/>
  <c r="AL48" i="68" s="1"/>
  <c r="AM48" i="68" s="1"/>
  <c r="H25" i="68"/>
  <c r="Z52" i="68"/>
  <c r="T52" i="68"/>
  <c r="Q55" i="68"/>
  <c r="AK56" i="68"/>
  <c r="L57" i="68"/>
  <c r="X18" i="164"/>
  <c r="E35" i="68"/>
  <c r="M18" i="164"/>
  <c r="M20" i="164" s="1"/>
  <c r="AK38" i="68"/>
  <c r="L42" i="68"/>
  <c r="H55" i="68"/>
  <c r="O55" i="68" s="1"/>
  <c r="AK15" i="68"/>
  <c r="AL15" i="68" s="1"/>
  <c r="AM15" i="68" s="1"/>
  <c r="AO13" i="68"/>
  <c r="AP13" i="68" s="1"/>
  <c r="AQ13" i="68" s="1"/>
  <c r="T54" i="68"/>
  <c r="AK23" i="68"/>
  <c r="AL23" i="68" s="1"/>
  <c r="AM23" i="68" s="1"/>
  <c r="Y13" i="182"/>
  <c r="Y15" i="182" s="1"/>
  <c r="AO22" i="68"/>
  <c r="AP22" i="68" s="1"/>
  <c r="AQ22" i="68" s="1"/>
  <c r="AO38" i="68"/>
  <c r="D42" i="68"/>
  <c r="AK46" i="68"/>
  <c r="L51" i="68"/>
  <c r="T51" i="68" s="1"/>
  <c r="R25" i="68"/>
  <c r="T13" i="68"/>
  <c r="Z13" i="68"/>
  <c r="Z59" i="68"/>
  <c r="T59" i="68"/>
  <c r="AO49" i="68"/>
  <c r="AP49" i="68" s="1"/>
  <c r="AQ49" i="68" s="1"/>
  <c r="Q13" i="182"/>
  <c r="Q15" i="182" s="1"/>
  <c r="AK18" i="68"/>
  <c r="AL18" i="68" s="1"/>
  <c r="AM18" i="68" s="1"/>
  <c r="L63" i="68"/>
  <c r="AO29" i="68"/>
  <c r="AP29" i="68" s="1"/>
  <c r="AQ29" i="68" s="1"/>
  <c r="AO58" i="68"/>
  <c r="D60" i="68"/>
  <c r="F60" i="68" s="1"/>
  <c r="AO21" i="68"/>
  <c r="AP21" i="68" s="1"/>
  <c r="AQ21" i="68" s="1"/>
  <c r="Z40" i="68"/>
  <c r="T40" i="68"/>
  <c r="AO19" i="68"/>
  <c r="AP19" i="68" s="1"/>
  <c r="AQ19" i="68" s="1"/>
  <c r="D23" i="187"/>
  <c r="D25" i="187" s="1"/>
  <c r="E42" i="68"/>
  <c r="AL24" i="172"/>
  <c r="AL26" i="172" s="1"/>
  <c r="AO34" i="68"/>
  <c r="AP34" i="68" s="1"/>
  <c r="AQ34" i="68" s="1"/>
  <c r="L23" i="187"/>
  <c r="L25" i="187" s="1"/>
  <c r="P13" i="182"/>
  <c r="P15" i="182" s="1"/>
  <c r="T21" i="68"/>
  <c r="Z21" i="68"/>
  <c r="M24" i="172"/>
  <c r="M26" i="172" s="1"/>
  <c r="AO27" i="68"/>
  <c r="AP27" i="68" s="1"/>
  <c r="AQ27" i="68" s="1"/>
  <c r="R55" i="68"/>
  <c r="M37" i="68"/>
  <c r="AK38" i="181"/>
  <c r="AM35" i="181"/>
  <c r="AO39" i="68"/>
  <c r="AP39" i="68" s="1"/>
  <c r="AQ39" i="68" s="1"/>
  <c r="AO54" i="68"/>
  <c r="AP54" i="68" s="1"/>
  <c r="AQ54" i="68" s="1"/>
  <c r="AF38" i="181"/>
  <c r="AF40" i="181" s="1"/>
  <c r="AH42" i="181" s="1"/>
  <c r="AK44" i="68"/>
  <c r="AL44" i="68" s="1"/>
  <c r="AM44" i="68" s="1"/>
  <c r="I42" i="68"/>
  <c r="AK12" i="68"/>
  <c r="AL12" i="68" s="1"/>
  <c r="AM12" i="68" s="1"/>
  <c r="T41" i="68"/>
  <c r="Z41" i="68"/>
  <c r="L13" i="182"/>
  <c r="L15" i="182" s="1"/>
  <c r="AQ23" i="172"/>
  <c r="AM23" i="172"/>
  <c r="AK24" i="172"/>
  <c r="Q63" i="68"/>
  <c r="R63" i="68" s="1"/>
  <c r="T18" i="68"/>
  <c r="Z18" i="68"/>
  <c r="E23" i="187"/>
  <c r="E25" i="187" s="1"/>
  <c r="AO59" i="68"/>
  <c r="AP59" i="68" s="1"/>
  <c r="AQ59" i="68" s="1"/>
  <c r="AK21" i="68"/>
  <c r="AL21" i="68" s="1"/>
  <c r="AM21" i="68" s="1"/>
  <c r="AG13" i="182"/>
  <c r="AG15" i="182" s="1"/>
  <c r="AG18" i="164"/>
  <c r="AP17" i="164"/>
  <c r="X13" i="182"/>
  <c r="AO15" i="68"/>
  <c r="AP15" i="68" s="1"/>
  <c r="AQ15" i="68" s="1"/>
  <c r="AO47" i="68"/>
  <c r="AP47" i="68" s="1"/>
  <c r="AQ47" i="68" s="1"/>
  <c r="Q24" i="172"/>
  <c r="Q26" i="172" s="1"/>
  <c r="T11" i="68"/>
  <c r="Z11" i="68"/>
  <c r="AK31" i="68"/>
  <c r="AL31" i="68" s="1"/>
  <c r="AM31" i="68" s="1"/>
  <c r="AK22" i="68"/>
  <c r="AL22" i="68" s="1"/>
  <c r="AM22" i="68" s="1"/>
  <c r="E57" i="68"/>
  <c r="I57" i="68"/>
  <c r="D13" i="182"/>
  <c r="D15" i="182" s="1"/>
  <c r="E17" i="182" s="1"/>
  <c r="T30" i="68"/>
  <c r="Z30" i="68"/>
  <c r="H35" i="68"/>
  <c r="I25" i="68"/>
  <c r="AO23" i="68"/>
  <c r="AP23" i="68" s="1"/>
  <c r="AQ23" i="68" s="1"/>
  <c r="D38" i="181"/>
  <c r="D40" i="181" s="1"/>
  <c r="E42" i="181" s="1"/>
  <c r="AO11" i="68"/>
  <c r="AP11" i="68" s="1"/>
  <c r="AQ11" i="68" s="1"/>
  <c r="M57" i="68"/>
  <c r="U23" i="187"/>
  <c r="T50" i="68"/>
  <c r="Z50" i="68"/>
  <c r="AF16" i="151"/>
  <c r="AF18" i="151" s="1"/>
  <c r="AK27" i="68"/>
  <c r="AL27" i="68" s="1"/>
  <c r="AM27" i="68" s="1"/>
  <c r="AC13" i="182"/>
  <c r="AC15" i="182" s="1"/>
  <c r="L25" i="68"/>
  <c r="AK4" i="68"/>
  <c r="AO5" i="68"/>
  <c r="AP5" i="68" s="1"/>
  <c r="AQ5" i="68" s="1"/>
  <c r="AI10" i="182"/>
  <c r="AB13" i="182"/>
  <c r="T6" i="68"/>
  <c r="Z6" i="68"/>
  <c r="M23" i="187"/>
  <c r="D37" i="68"/>
  <c r="AO36" i="68"/>
  <c r="I13" i="182"/>
  <c r="I15" i="182" s="1"/>
  <c r="I17" i="182" s="1"/>
  <c r="M25" i="68"/>
  <c r="N25" i="68" s="1"/>
  <c r="X24" i="172"/>
  <c r="I37" i="68"/>
  <c r="Q23" i="187"/>
  <c r="I55" i="68"/>
  <c r="Z7" i="68"/>
  <c r="T7" i="68"/>
  <c r="AO6" i="68"/>
  <c r="AP6" i="68" s="1"/>
  <c r="AQ6" i="68" s="1"/>
  <c r="Z38" i="68"/>
  <c r="T38" i="68"/>
  <c r="Q42" i="68"/>
  <c r="T10" i="68"/>
  <c r="Z10" i="68"/>
  <c r="D25" i="68"/>
  <c r="AO4" i="68"/>
  <c r="T24" i="68"/>
  <c r="Z24" i="68"/>
  <c r="AO53" i="68"/>
  <c r="AP53" i="68" s="1"/>
  <c r="AQ53" i="68" s="1"/>
  <c r="AO50" i="68"/>
  <c r="AP50" i="68" s="1"/>
  <c r="AQ50" i="68" s="1"/>
  <c r="Z29" i="68"/>
  <c r="T29" i="68"/>
  <c r="U38" i="181"/>
  <c r="U40" i="181" s="1"/>
  <c r="U42" i="181" s="1"/>
  <c r="P23" i="187"/>
  <c r="P25" i="187" s="1"/>
  <c r="AK58" i="68"/>
  <c r="L60" i="68"/>
  <c r="H63" i="68"/>
  <c r="AK59" i="68"/>
  <c r="AL59" i="68" s="1"/>
  <c r="AM59" i="68" s="1"/>
  <c r="H18" i="164"/>
  <c r="H20" i="164" s="1"/>
  <c r="AB18" i="164"/>
  <c r="T56" i="68"/>
  <c r="Z56" i="68"/>
  <c r="Q57" i="68"/>
  <c r="R37" i="68"/>
  <c r="T22" i="68"/>
  <c r="Z22" i="68"/>
  <c r="Z17" i="68"/>
  <c r="T17" i="68"/>
  <c r="H51" i="68"/>
  <c r="H23" i="187"/>
  <c r="H25" i="187" s="1"/>
  <c r="T14" i="68"/>
  <c r="Z14" i="68"/>
  <c r="AL18" i="164"/>
  <c r="AL20" i="164" s="1"/>
  <c r="Y44" i="157"/>
  <c r="T46" i="68"/>
  <c r="Z46" i="68"/>
  <c r="Q51" i="68"/>
  <c r="AO10" i="68"/>
  <c r="AP10" i="68" s="1"/>
  <c r="AQ10" i="68" s="1"/>
  <c r="AK8" i="68"/>
  <c r="AL8" i="68" s="1"/>
  <c r="AM8" i="68" s="1"/>
  <c r="AG18" i="149"/>
  <c r="AG20" i="149" s="1"/>
  <c r="Y24" i="172"/>
  <c r="Y26" i="172" s="1"/>
  <c r="H57" i="68"/>
  <c r="J57" i="68" s="1"/>
  <c r="AK11" i="68"/>
  <c r="AL11" i="68" s="1"/>
  <c r="AM11" i="68" s="1"/>
  <c r="AC23" i="187"/>
  <c r="AC25" i="187" s="1"/>
  <c r="AC31" i="187" s="1"/>
  <c r="Q18" i="164"/>
  <c r="Q20" i="164" s="1"/>
  <c r="U18" i="164"/>
  <c r="U20" i="164" s="1"/>
  <c r="U22" i="164" s="1"/>
  <c r="AO20" i="68"/>
  <c r="AP20" i="68" s="1"/>
  <c r="AQ20" i="68" s="1"/>
  <c r="AK50" i="68"/>
  <c r="AL50" i="68" s="1"/>
  <c r="AM50" i="68" s="1"/>
  <c r="D18" i="164"/>
  <c r="D20" i="164" s="1"/>
  <c r="I35" i="68"/>
  <c r="AK34" i="68"/>
  <c r="AL34" i="68" s="1"/>
  <c r="AM34" i="68" s="1"/>
  <c r="Z4" i="68"/>
  <c r="T4" i="68"/>
  <c r="Q25" i="68"/>
  <c r="Z15" i="68"/>
  <c r="T15" i="68"/>
  <c r="R35" i="68"/>
  <c r="AO42" i="68"/>
  <c r="AP42" i="68" s="1"/>
  <c r="AQ42" i="68" s="1"/>
  <c r="AP38" i="68"/>
  <c r="AQ38" i="68" s="1"/>
  <c r="Z51" i="68"/>
  <c r="F37" i="68"/>
  <c r="N55" i="68" l="1"/>
  <c r="Q28" i="172"/>
  <c r="R62" i="68"/>
  <c r="R64" i="68" s="1"/>
  <c r="S51" i="68"/>
  <c r="J51" i="68"/>
  <c r="U17" i="182"/>
  <c r="J60" i="68"/>
  <c r="E62" i="68"/>
  <c r="E64" i="68" s="1"/>
  <c r="S25" i="68"/>
  <c r="O25" i="68"/>
  <c r="M62" i="68"/>
  <c r="M64" i="68" s="1"/>
  <c r="V17" i="68"/>
  <c r="V40" i="68"/>
  <c r="V42" i="68" s="1"/>
  <c r="V27" i="68"/>
  <c r="AQ17" i="184"/>
  <c r="AP24" i="184"/>
  <c r="AH58" i="68"/>
  <c r="AG60" i="68"/>
  <c r="AQ75" i="161"/>
  <c r="AO81" i="161"/>
  <c r="M17" i="182"/>
  <c r="E22" i="164"/>
  <c r="Q22" i="164"/>
  <c r="I22" i="164"/>
  <c r="Q42" i="181"/>
  <c r="AC27" i="187"/>
  <c r="T25" i="68"/>
  <c r="Z25" i="68"/>
  <c r="X15" i="68"/>
  <c r="AG22" i="149"/>
  <c r="AB20" i="164"/>
  <c r="AD18" i="164"/>
  <c r="N60" i="68"/>
  <c r="O60" i="68"/>
  <c r="AL58" i="68"/>
  <c r="AM58" i="68" s="1"/>
  <c r="AK60" i="68"/>
  <c r="AL60" i="68" s="1"/>
  <c r="AM60" i="68" s="1"/>
  <c r="F25" i="68"/>
  <c r="D62" i="68"/>
  <c r="AP36" i="68"/>
  <c r="AQ36" i="68" s="1"/>
  <c r="AO37" i="68"/>
  <c r="AP37" i="68" s="1"/>
  <c r="AQ37" i="68" s="1"/>
  <c r="U25" i="187"/>
  <c r="V23" i="187"/>
  <c r="Z13" i="182"/>
  <c r="X15" i="182"/>
  <c r="AG20" i="164"/>
  <c r="AI18" i="164"/>
  <c r="AM38" i="181"/>
  <c r="AK40" i="181"/>
  <c r="AO60" i="68"/>
  <c r="AP60" i="68" s="1"/>
  <c r="AQ60" i="68" s="1"/>
  <c r="AP58" i="68"/>
  <c r="AQ58" i="68" s="1"/>
  <c r="O51" i="68"/>
  <c r="N51" i="68"/>
  <c r="AK51" i="68"/>
  <c r="AL51" i="68" s="1"/>
  <c r="AM51" i="68" s="1"/>
  <c r="AL46" i="68"/>
  <c r="AM46" i="68" s="1"/>
  <c r="O42" i="68"/>
  <c r="N42" i="68"/>
  <c r="Z18" i="164"/>
  <c r="X20" i="164"/>
  <c r="N57" i="68"/>
  <c r="O57" i="68"/>
  <c r="S55" i="68"/>
  <c r="T55" i="68"/>
  <c r="J25" i="68"/>
  <c r="K25" i="68" s="1"/>
  <c r="H62" i="68"/>
  <c r="AL43" i="68"/>
  <c r="AM43" i="68" s="1"/>
  <c r="AK45" i="68"/>
  <c r="AL45" i="68" s="1"/>
  <c r="AM45" i="68" s="1"/>
  <c r="AO57" i="68"/>
  <c r="AP57" i="68" s="1"/>
  <c r="AQ57" i="68" s="1"/>
  <c r="AP56" i="68"/>
  <c r="AQ56" i="68" s="1"/>
  <c r="Z45" i="68"/>
  <c r="T45" i="68"/>
  <c r="AB40" i="181"/>
  <c r="AD38" i="181"/>
  <c r="V18" i="68"/>
  <c r="S35" i="68"/>
  <c r="T35" i="68"/>
  <c r="Z23" i="187"/>
  <c r="Y25" i="187"/>
  <c r="AM18" i="164"/>
  <c r="AK20" i="164"/>
  <c r="N35" i="68"/>
  <c r="O35" i="68"/>
  <c r="AP46" i="68"/>
  <c r="AQ46" i="68" s="1"/>
  <c r="AO51" i="68"/>
  <c r="AP51" i="68" s="1"/>
  <c r="AQ51" i="68" s="1"/>
  <c r="AP35" i="181"/>
  <c r="AO38" i="181"/>
  <c r="AI38" i="181"/>
  <c r="AG40" i="181"/>
  <c r="X40" i="181"/>
  <c r="Z38" i="181"/>
  <c r="AL36" i="68"/>
  <c r="AM36" i="68" s="1"/>
  <c r="AK37" i="68"/>
  <c r="AL37" i="68" s="1"/>
  <c r="AM37" i="68" s="1"/>
  <c r="AP52" i="68"/>
  <c r="AQ52" i="68" s="1"/>
  <c r="AO55" i="68"/>
  <c r="AP55" i="68" s="1"/>
  <c r="AQ55" i="68" s="1"/>
  <c r="AD24" i="172"/>
  <c r="AB26" i="172"/>
  <c r="AI24" i="172"/>
  <c r="L62" i="68"/>
  <c r="J35" i="68"/>
  <c r="M42" i="181"/>
  <c r="M28" i="172"/>
  <c r="E28" i="172"/>
  <c r="I28" i="172"/>
  <c r="Z57" i="68"/>
  <c r="T57" i="68"/>
  <c r="S57" i="68"/>
  <c r="AP4" i="68"/>
  <c r="AQ4" i="68" s="1"/>
  <c r="AO25" i="68"/>
  <c r="AP25" i="68" s="1"/>
  <c r="AQ25" i="68" s="1"/>
  <c r="Z42" i="68"/>
  <c r="T42" i="68"/>
  <c r="S42" i="68"/>
  <c r="Q25" i="187"/>
  <c r="R23" i="187"/>
  <c r="Z24" i="172"/>
  <c r="X26" i="172"/>
  <c r="N23" i="187"/>
  <c r="M25" i="187"/>
  <c r="M27" i="187" s="1"/>
  <c r="AB15" i="182"/>
  <c r="AD13" i="182"/>
  <c r="AK25" i="68"/>
  <c r="AL25" i="68" s="1"/>
  <c r="AM25" i="68" s="1"/>
  <c r="AL4" i="68"/>
  <c r="AM4" i="68" s="1"/>
  <c r="AP18" i="164"/>
  <c r="W54" i="68"/>
  <c r="AB54" i="68"/>
  <c r="AQ24" i="172"/>
  <c r="AM24" i="172"/>
  <c r="AK26" i="172"/>
  <c r="AL38" i="68"/>
  <c r="AM38" i="68" s="1"/>
  <c r="AK42" i="68"/>
  <c r="AL42" i="68" s="1"/>
  <c r="AM42" i="68" s="1"/>
  <c r="AL56" i="68"/>
  <c r="AM56" i="68" s="1"/>
  <c r="AK57" i="68"/>
  <c r="AL57" i="68" s="1"/>
  <c r="AM57" i="68" s="1"/>
  <c r="AO45" i="68"/>
  <c r="AP45" i="68" s="1"/>
  <c r="AQ45" i="68" s="1"/>
  <c r="AP43" i="68"/>
  <c r="AQ43" i="68" s="1"/>
  <c r="AL52" i="68"/>
  <c r="AM52" i="68" s="1"/>
  <c r="AK55" i="68"/>
  <c r="AL55" i="68" s="1"/>
  <c r="AM55" i="68" s="1"/>
  <c r="AF81" i="161"/>
  <c r="AH77" i="161"/>
  <c r="Z60" i="68"/>
  <c r="T60" i="68"/>
  <c r="S60" i="68"/>
  <c r="S37" i="68"/>
  <c r="T37" i="68"/>
  <c r="Z37" i="68"/>
  <c r="J23" i="187"/>
  <c r="I25" i="187"/>
  <c r="AF15" i="182"/>
  <c r="AL13" i="182"/>
  <c r="AM13" i="182" s="1"/>
  <c r="AI13" i="182"/>
  <c r="O37" i="68"/>
  <c r="N37" i="68"/>
  <c r="H40" i="181"/>
  <c r="J38" i="181"/>
  <c r="Q62" i="68"/>
  <c r="S62" i="68" s="1"/>
  <c r="I62" i="68"/>
  <c r="I64" i="68" s="1"/>
  <c r="E27" i="187"/>
  <c r="Q17" i="182"/>
  <c r="F42" i="68"/>
  <c r="J55" i="68"/>
  <c r="F57" i="68"/>
  <c r="J37" i="68"/>
  <c r="M22" i="164"/>
  <c r="F35" i="68"/>
  <c r="J42" i="68"/>
  <c r="F55" i="68"/>
  <c r="T62" i="68" l="1"/>
  <c r="V25" i="68"/>
  <c r="AQ81" i="161"/>
  <c r="AP81" i="161"/>
  <c r="AH60" i="68"/>
  <c r="AI60" i="68" s="1"/>
  <c r="AI58" i="68"/>
  <c r="AP26" i="184"/>
  <c r="AQ26" i="184" s="1"/>
  <c r="AQ24" i="184"/>
  <c r="AO83" i="161"/>
  <c r="AM40" i="181"/>
  <c r="AL42" i="181"/>
  <c r="Q64" i="68"/>
  <c r="U25" i="68" s="1"/>
  <c r="AH17" i="182"/>
  <c r="AL15" i="182"/>
  <c r="AM15" i="182" s="1"/>
  <c r="AI15" i="182"/>
  <c r="V54" i="68"/>
  <c r="V55" i="68" s="1"/>
  <c r="AF83" i="161"/>
  <c r="AC54" i="68"/>
  <c r="AB55" i="68"/>
  <c r="AH54" i="68"/>
  <c r="Z26" i="172"/>
  <c r="Y28" i="172"/>
  <c r="L64" i="68"/>
  <c r="O62" i="68"/>
  <c r="N62" i="68"/>
  <c r="AD26" i="172"/>
  <c r="AI26" i="172"/>
  <c r="AC28" i="172"/>
  <c r="AO40" i="181"/>
  <c r="AP40" i="181" s="1"/>
  <c r="AP38" i="181"/>
  <c r="AB31" i="68"/>
  <c r="AL22" i="164"/>
  <c r="AM20" i="164"/>
  <c r="Z25" i="187"/>
  <c r="Y31" i="187"/>
  <c r="Y27" i="187"/>
  <c r="W31" i="68"/>
  <c r="AI20" i="164"/>
  <c r="AH22" i="164"/>
  <c r="U27" i="187"/>
  <c r="V25" i="187"/>
  <c r="AD20" i="164"/>
  <c r="AC22" i="164"/>
  <c r="Y15" i="68"/>
  <c r="X25" i="68"/>
  <c r="N25" i="187"/>
  <c r="AI40" i="181"/>
  <c r="I42" i="181"/>
  <c r="J40" i="181"/>
  <c r="J25" i="187"/>
  <c r="I27" i="187"/>
  <c r="AB41" i="68"/>
  <c r="AM26" i="172"/>
  <c r="AL28" i="172"/>
  <c r="AQ26" i="172"/>
  <c r="Z54" i="68"/>
  <c r="Y54" i="68"/>
  <c r="W55" i="68"/>
  <c r="AP20" i="164"/>
  <c r="AQ20" i="164" s="1"/>
  <c r="AQ18" i="164"/>
  <c r="AC17" i="182"/>
  <c r="AD15" i="182"/>
  <c r="Q27" i="187"/>
  <c r="R25" i="187"/>
  <c r="Z40" i="181"/>
  <c r="Y42" i="181"/>
  <c r="AC42" i="181"/>
  <c r="AD40" i="181"/>
  <c r="J62" i="68"/>
  <c r="H64" i="68"/>
  <c r="Y22" i="164"/>
  <c r="Z20" i="164"/>
  <c r="Y17" i="182"/>
  <c r="Z15" i="182"/>
  <c r="F62" i="68"/>
  <c r="D64" i="68"/>
  <c r="T64" i="68" l="1"/>
  <c r="AQ83" i="161"/>
  <c r="AP83" i="161"/>
  <c r="AG28" i="68"/>
  <c r="Y25" i="68"/>
  <c r="X62" i="68"/>
  <c r="Y31" i="68"/>
  <c r="Z31" i="68"/>
  <c r="W35" i="68"/>
  <c r="W62" i="68" s="1"/>
  <c r="AH55" i="68"/>
  <c r="AI55" i="68" s="1"/>
  <c r="AI54" i="68"/>
  <c r="AD54" i="68"/>
  <c r="AC55" i="68"/>
  <c r="AD55" i="68" s="1"/>
  <c r="Y55" i="68"/>
  <c r="Z55" i="68"/>
  <c r="AC41" i="68"/>
  <c r="AH41" i="68"/>
  <c r="AB42" i="68"/>
  <c r="Z31" i="187"/>
  <c r="AD31" i="187"/>
  <c r="AC31" i="68"/>
  <c r="AH31" i="68"/>
  <c r="AB35" i="68"/>
  <c r="V28" i="68"/>
  <c r="V35" i="68" s="1"/>
  <c r="V62" i="68" s="1"/>
  <c r="V64" i="68" s="1"/>
  <c r="O64" i="68"/>
  <c r="AG35" i="68" l="1"/>
  <c r="AG62" i="68" s="1"/>
  <c r="AO28" i="68"/>
  <c r="AH28" i="68"/>
  <c r="AI28" i="68" s="1"/>
  <c r="AK28" i="68"/>
  <c r="AI31" i="68"/>
  <c r="AD31" i="68"/>
  <c r="AC35" i="68"/>
  <c r="AD35" i="68" s="1"/>
  <c r="AI41" i="68"/>
  <c r="AH42" i="68"/>
  <c r="AI42" i="68" s="1"/>
  <c r="Y35" i="68"/>
  <c r="Y62" i="68" s="1"/>
  <c r="Z35" i="68"/>
  <c r="AB62" i="68"/>
  <c r="AB64" i="68" s="1"/>
  <c r="AC42" i="68"/>
  <c r="AD42" i="68" s="1"/>
  <c r="AD41" i="68"/>
  <c r="X71" i="68"/>
  <c r="X73" i="68" s="1"/>
  <c r="X64" i="68"/>
  <c r="AH35" i="68" l="1"/>
  <c r="AI35" i="68" s="1"/>
  <c r="AC62" i="68"/>
  <c r="AC64" i="68" s="1"/>
  <c r="AG64" i="68"/>
  <c r="AJ35" i="68" s="1"/>
  <c r="AL28" i="68"/>
  <c r="AM28" i="68" s="1"/>
  <c r="AK35" i="68"/>
  <c r="AP28" i="68"/>
  <c r="AQ28" i="68" s="1"/>
  <c r="AO35" i="68"/>
  <c r="W64" i="68"/>
  <c r="Z62" i="68"/>
  <c r="AD64" i="68" l="1"/>
  <c r="AD62" i="68"/>
  <c r="AH62" i="68"/>
  <c r="AK62" i="68"/>
  <c r="AL62" i="68" s="1"/>
  <c r="AM62" i="68" s="1"/>
  <c r="AL35" i="68"/>
  <c r="AM35" i="68" s="1"/>
  <c r="AJ60" i="68"/>
  <c r="AJ11" i="68"/>
  <c r="AJ53" i="68"/>
  <c r="AJ19" i="68"/>
  <c r="AJ38" i="68"/>
  <c r="AJ15" i="68"/>
  <c r="AJ43" i="68"/>
  <c r="AJ42" i="68"/>
  <c r="AJ9" i="68"/>
  <c r="AJ17" i="68"/>
  <c r="AJ31" i="68"/>
  <c r="AJ47" i="68"/>
  <c r="AJ32" i="68"/>
  <c r="AJ25" i="68"/>
  <c r="AJ33" i="68"/>
  <c r="AJ41" i="68"/>
  <c r="AJ49" i="68"/>
  <c r="AJ8" i="68"/>
  <c r="AJ44" i="68"/>
  <c r="AJ55" i="68"/>
  <c r="AJ4" i="68"/>
  <c r="AJ20" i="68"/>
  <c r="AJ48" i="68"/>
  <c r="AJ57" i="68"/>
  <c r="AJ10" i="68"/>
  <c r="AJ26" i="68"/>
  <c r="AJ54" i="68"/>
  <c r="AJ7" i="68"/>
  <c r="AJ27" i="68"/>
  <c r="AJ16" i="68"/>
  <c r="AJ5" i="68"/>
  <c r="AJ13" i="68"/>
  <c r="AJ23" i="68"/>
  <c r="AJ39" i="68"/>
  <c r="AJ58" i="68"/>
  <c r="AJ21" i="68"/>
  <c r="AJ29" i="68"/>
  <c r="AJ37" i="68"/>
  <c r="AJ45" i="68"/>
  <c r="AJ63" i="68"/>
  <c r="AJ24" i="68"/>
  <c r="AJ51" i="68"/>
  <c r="AJ59" i="68"/>
  <c r="AJ12" i="68"/>
  <c r="AJ28" i="68"/>
  <c r="AJ52" i="68"/>
  <c r="AJ56" i="68"/>
  <c r="AJ6" i="68"/>
  <c r="AJ14" i="68"/>
  <c r="AJ22" i="68"/>
  <c r="AJ30" i="68"/>
  <c r="AJ40" i="68"/>
  <c r="AJ50" i="68"/>
  <c r="AJ36" i="68"/>
  <c r="AJ18" i="68"/>
  <c r="AJ34" i="68"/>
  <c r="AJ46" i="68"/>
  <c r="AP35" i="68"/>
  <c r="AQ35" i="68" s="1"/>
  <c r="AO62" i="68"/>
  <c r="AP62" i="68" s="1"/>
  <c r="AQ62" i="68" s="1"/>
  <c r="AE63" i="68"/>
  <c r="AE23" i="68"/>
  <c r="AE21" i="68"/>
  <c r="AE19" i="68"/>
  <c r="AE17" i="68"/>
  <c r="AE15" i="68"/>
  <c r="AE13" i="68"/>
  <c r="AE11" i="68"/>
  <c r="AE9" i="68"/>
  <c r="AE7" i="68"/>
  <c r="AE5" i="68"/>
  <c r="AE59" i="68"/>
  <c r="AE56" i="68"/>
  <c r="AE53" i="68"/>
  <c r="AE50" i="68"/>
  <c r="AE48" i="68"/>
  <c r="AE44" i="68"/>
  <c r="AE39" i="68"/>
  <c r="AE36" i="68"/>
  <c r="AE24" i="68"/>
  <c r="AE22" i="68"/>
  <c r="AE20" i="68"/>
  <c r="AE18" i="68"/>
  <c r="AE16" i="68"/>
  <c r="AE14" i="68"/>
  <c r="AE12" i="68"/>
  <c r="AE10" i="68"/>
  <c r="AE8" i="68"/>
  <c r="AE6" i="68"/>
  <c r="AE4" i="68"/>
  <c r="AE58" i="68"/>
  <c r="AE52" i="68"/>
  <c r="AE49" i="68"/>
  <c r="AE47" i="68"/>
  <c r="AE43" i="68"/>
  <c r="AE40" i="68"/>
  <c r="AE38" i="68"/>
  <c r="AE54" i="68"/>
  <c r="AE41" i="68"/>
  <c r="AE33" i="68"/>
  <c r="AE29" i="68"/>
  <c r="AE26" i="68"/>
  <c r="AE34" i="68"/>
  <c r="AE32" i="68"/>
  <c r="AE30" i="68"/>
  <c r="AE28" i="68"/>
  <c r="AE31" i="68"/>
  <c r="AE57" i="68"/>
  <c r="AE51" i="68"/>
  <c r="AE60" i="68"/>
  <c r="AE45" i="68"/>
  <c r="AE37" i="68"/>
  <c r="AE55" i="68"/>
  <c r="AE35" i="68"/>
  <c r="AE42" i="68"/>
  <c r="AE25" i="68"/>
  <c r="AE46" i="68"/>
  <c r="AE27" i="68"/>
  <c r="Z64" i="68"/>
  <c r="AA25" i="68"/>
  <c r="AH64" i="68" l="1"/>
  <c r="AI64" i="68" s="1"/>
  <c r="AI62" i="68"/>
  <c r="AJ62" i="68"/>
  <c r="AJ64" i="68" s="1"/>
  <c r="AE62" i="68"/>
  <c r="AE64"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B4" authorId="0" shapeId="0" xr:uid="{00000000-0006-0000-0000-000001000000}">
      <text>
        <r>
          <rPr>
            <b/>
            <sz val="8"/>
            <color indexed="81"/>
            <rFont val="Tahoma"/>
            <family val="2"/>
          </rPr>
          <t>7/1/2018
Certified 10/22/18</t>
        </r>
      </text>
    </comment>
    <comment ref="C4" authorId="0" shapeId="0" xr:uid="{00000000-0006-0000-0000-000002000000}">
      <text>
        <r>
          <rPr>
            <b/>
            <sz val="8"/>
            <color indexed="81"/>
            <rFont val="Tahoma"/>
            <family val="2"/>
          </rPr>
          <t>7/1/2018
Certified 10/22/18</t>
        </r>
      </text>
    </comment>
    <comment ref="D4" authorId="0" shapeId="0" xr:uid="{00000000-0006-0000-0000-000003000000}">
      <text>
        <r>
          <rPr>
            <b/>
            <sz val="8"/>
            <color indexed="81"/>
            <rFont val="Tahoma"/>
            <family val="2"/>
          </rPr>
          <t xml:space="preserve">7/1/2017
Certified 10/05/17
</t>
        </r>
      </text>
    </comment>
    <comment ref="E4" authorId="0" shapeId="0" xr:uid="{00000000-0006-0000-0000-000004000000}">
      <text>
        <r>
          <rPr>
            <b/>
            <sz val="8"/>
            <color indexed="81"/>
            <rFont val="Tahoma"/>
            <family val="2"/>
          </rPr>
          <t>7/1/2016
Certified 10/24/16</t>
        </r>
      </text>
    </comment>
    <comment ref="F4" authorId="0" shapeId="0" xr:uid="{00000000-0006-0000-0000-000005000000}">
      <text>
        <r>
          <rPr>
            <b/>
            <sz val="8"/>
            <color indexed="81"/>
            <rFont val="Tahoma"/>
            <family val="2"/>
          </rPr>
          <t>7/1/15 Free Cash Certification Less: STM 11/9/15</t>
        </r>
      </text>
    </comment>
    <comment ref="C32" authorId="0" shapeId="0" xr:uid="{00000000-0006-0000-0000-000006000000}">
      <text>
        <r>
          <rPr>
            <b/>
            <sz val="8"/>
            <color indexed="81"/>
            <rFont val="Tahoma"/>
            <family val="2"/>
          </rPr>
          <t>SQB Dam&amp;Seawall</t>
        </r>
      </text>
    </comment>
    <comment ref="E43" authorId="0" shapeId="0" xr:uid="{00000000-0006-0000-0000-000007000000}">
      <text>
        <r>
          <rPr>
            <b/>
            <sz val="8"/>
            <color indexed="81"/>
            <rFont val="Tahoma"/>
            <family val="2"/>
          </rPr>
          <t>Used for Legal</t>
        </r>
      </text>
    </comment>
    <comment ref="E45" authorId="0" shapeId="0" xr:uid="{00000000-0006-0000-0000-000008000000}">
      <text>
        <r>
          <rPr>
            <b/>
            <sz val="8"/>
            <color indexed="81"/>
            <rFont val="Tahoma"/>
            <family val="2"/>
          </rPr>
          <t xml:space="preserve">xfer Bal to MFAHT
</t>
        </r>
      </text>
    </comment>
    <comment ref="E73" authorId="0" shapeId="0" xr:uid="{00000000-0006-0000-0000-000009000000}">
      <text>
        <r>
          <rPr>
            <b/>
            <sz val="8"/>
            <color indexed="81"/>
            <rFont val="Tahoma"/>
            <family val="2"/>
          </rPr>
          <t>Only Fund 81 Non-Exp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L2" authorId="0" shapeId="0" xr:uid="{00000000-0006-0000-0300-000001000000}">
      <text>
        <r>
          <rPr>
            <b/>
            <sz val="8"/>
            <color indexed="81"/>
            <rFont val="Tahoma"/>
            <family val="2"/>
          </rPr>
          <t xml:space="preserve">10=1%
15=2%
20=3%
25=4%
</t>
        </r>
      </text>
    </comment>
    <comment ref="M5" authorId="0" shapeId="0" xr:uid="{00000000-0006-0000-0300-000002000000}">
      <text>
        <r>
          <rPr>
            <b/>
            <sz val="8"/>
            <color indexed="81"/>
            <rFont val="Tahoma"/>
            <family val="2"/>
          </rPr>
          <t>Melanie to confirm
if 9/27/04
or 
7/1/2005</t>
        </r>
      </text>
    </comment>
    <comment ref="D7" authorId="0" shapeId="0" xr:uid="{00000000-0006-0000-0300-000003000000}">
      <text>
        <r>
          <rPr>
            <b/>
            <sz val="8"/>
            <color indexed="81"/>
            <rFont val="Tahoma"/>
            <family val="2"/>
          </rPr>
          <t xml:space="preserve">June Manning G4/S4
Jesse Holtham G6/S5
</t>
        </r>
      </text>
    </comment>
    <comment ref="D15" authorId="0" shapeId="0" xr:uid="{00000000-0006-0000-0300-000004000000}">
      <text>
        <r>
          <rPr>
            <b/>
            <sz val="8"/>
            <color indexed="81"/>
            <rFont val="Tahoma"/>
            <family val="2"/>
          </rPr>
          <t xml:space="preserve">Emma Bunker -4/4
Samantha - 4/7
</t>
        </r>
      </text>
    </comment>
    <comment ref="F17" authorId="0" shapeId="0" xr:uid="{00000000-0006-0000-0300-000005000000}">
      <text>
        <r>
          <rPr>
            <b/>
            <sz val="8"/>
            <color indexed="81"/>
            <rFont val="Tahoma"/>
            <family val="2"/>
          </rPr>
          <t>approved 2/2/16</t>
        </r>
      </text>
    </comment>
    <comment ref="J37" authorId="0" shapeId="0" xr:uid="{00000000-0006-0000-0300-000006000000}">
      <text>
        <r>
          <rPr>
            <b/>
            <sz val="8"/>
            <color indexed="81"/>
            <rFont val="Tahoma"/>
            <family val="2"/>
          </rPr>
          <t>Add 20 hrs for Rodney vaca coverage</t>
        </r>
      </text>
    </comment>
    <comment ref="A74" authorId="0" shapeId="0" xr:uid="{00000000-0006-0000-0300-000007000000}">
      <text>
        <r>
          <rPr>
            <b/>
            <sz val="8"/>
            <color indexed="81"/>
            <rFont val="Tahoma"/>
            <family val="2"/>
          </rPr>
          <t>I need inspector totals from Lenny</t>
        </r>
      </text>
    </comment>
    <comment ref="J98" authorId="0" shapeId="0" xr:uid="{00000000-0006-0000-0300-000008000000}">
      <text>
        <r>
          <rPr>
            <b/>
            <sz val="8"/>
            <color indexed="81"/>
            <rFont val="Tahoma"/>
            <family val="2"/>
          </rPr>
          <t>Agreed on 30K, back into that number w/increase hrs/wk or additional wks worked</t>
        </r>
      </text>
    </comment>
    <comment ref="J137" authorId="0" shapeId="0" xr:uid="{00000000-0006-0000-0300-000009000000}">
      <text>
        <r>
          <rPr>
            <b/>
            <sz val="8"/>
            <color indexed="81"/>
            <rFont val="Tahoma"/>
            <family val="2"/>
          </rPr>
          <t>Budget # is more than calc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AR11" authorId="0" shapeId="0" xr:uid="{00000000-0006-0000-0800-000001000000}">
      <text>
        <r>
          <rPr>
            <b/>
            <sz val="8"/>
            <color indexed="81"/>
            <rFont val="Tahoma"/>
            <family val="2"/>
          </rPr>
          <t>Tax, Assessor &amp; Accountant absorb Treasurer share of Report Gen &amp; Dev Env as she discontinued TaxTitle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AK22" authorId="0" shapeId="0" xr:uid="{00000000-0006-0000-1900-000001000000}">
      <text>
        <r>
          <rPr>
            <b/>
            <sz val="8"/>
            <color indexed="81"/>
            <rFont val="Tahoma"/>
            <family val="2"/>
          </rPr>
          <t>coded 5399 in FY19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C7" authorId="0" shapeId="0" xr:uid="{00000000-0006-0000-1B00-000001000000}">
      <text>
        <r>
          <rPr>
            <b/>
            <sz val="8"/>
            <color indexed="81"/>
            <rFont val="Tahoma"/>
            <family val="2"/>
          </rPr>
          <t>S Slavin</t>
        </r>
      </text>
    </comment>
    <comment ref="C8" authorId="0" shapeId="0" xr:uid="{00000000-0006-0000-1B00-000002000000}">
      <text>
        <r>
          <rPr>
            <b/>
            <sz val="8"/>
            <color indexed="81"/>
            <rFont val="Tahoma"/>
            <family val="2"/>
          </rPr>
          <t xml:space="preserve">J. Burton
</t>
        </r>
      </text>
    </comment>
    <comment ref="C9" authorId="0" shapeId="0" xr:uid="{00000000-0006-0000-1B00-000003000000}">
      <text>
        <r>
          <rPr>
            <b/>
            <sz val="8"/>
            <color indexed="81"/>
            <rFont val="Tahoma"/>
            <family val="2"/>
          </rPr>
          <t>E. Rogers</t>
        </r>
      </text>
    </comment>
    <comment ref="C20" authorId="0" shapeId="0" xr:uid="{00000000-0006-0000-1B00-000004000000}">
      <text>
        <r>
          <rPr>
            <b/>
            <sz val="8"/>
            <color indexed="81"/>
            <rFont val="Tahoma"/>
            <family val="2"/>
          </rPr>
          <t>W. Fielder</t>
        </r>
      </text>
    </comment>
    <comment ref="C43" authorId="0" shapeId="0" xr:uid="{00000000-0006-0000-1B00-000005000000}">
      <text>
        <r>
          <rPr>
            <b/>
            <sz val="8"/>
            <color indexed="81"/>
            <rFont val="Tahoma"/>
            <family val="2"/>
          </rPr>
          <t>RENAME MVLEC
WAS POLICE SUPPLIES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C31" authorId="0" shapeId="0" xr:uid="{00000000-0006-0000-1D00-000001000000}">
      <text>
        <r>
          <rPr>
            <b/>
            <sz val="8"/>
            <color indexed="81"/>
            <rFont val="Tahoma"/>
            <family val="2"/>
          </rPr>
          <t>1st Allocated in FY17-need to calc repay for Prior Years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AO8" authorId="0" shapeId="0" xr:uid="{00000000-0006-0000-2500-000001000000}">
      <text>
        <r>
          <rPr>
            <b/>
            <sz val="8"/>
            <color indexed="81"/>
            <rFont val="Tahoma"/>
            <family val="2"/>
          </rPr>
          <t>Expanded Scope of Svc-Menemsha /LVB/SQB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Network Administrator</author>
  </authors>
  <commentList>
    <comment ref="AK63" authorId="0" shapeId="0" xr:uid="{00000000-0006-0000-3700-000001000000}">
      <text>
        <r>
          <rPr>
            <b/>
            <sz val="8"/>
            <color indexed="81"/>
            <rFont val="Tahoma"/>
            <family val="2"/>
          </rPr>
          <t xml:space="preserve">ck figure
</t>
        </r>
      </text>
    </comment>
    <comment ref="AO63" authorId="0" shapeId="0" xr:uid="{00000000-0006-0000-3700-000002000000}">
      <text>
        <r>
          <rPr>
            <b/>
            <sz val="8"/>
            <color indexed="81"/>
            <rFont val="Tahoma"/>
            <family val="2"/>
          </rPr>
          <t xml:space="preserve">ck figure
</t>
        </r>
      </text>
    </comment>
  </commentList>
</comments>
</file>

<file path=xl/sharedStrings.xml><?xml version="1.0" encoding="utf-8"?>
<sst xmlns="http://schemas.openxmlformats.org/spreadsheetml/2006/main" count="5614" uniqueCount="2169">
  <si>
    <t>Town Accountant</t>
  </si>
  <si>
    <t>Auditing</t>
  </si>
  <si>
    <t>Treasurer</t>
  </si>
  <si>
    <t>Tax Collector</t>
  </si>
  <si>
    <t>Town Clerk</t>
  </si>
  <si>
    <t>Highway Maintenance</t>
  </si>
  <si>
    <t xml:space="preserve"> </t>
  </si>
  <si>
    <t>Selectmen</t>
  </si>
  <si>
    <t>Board of Assessors</t>
  </si>
  <si>
    <t>Conservation Commission</t>
  </si>
  <si>
    <t>Planning Board</t>
  </si>
  <si>
    <t>Zoning Board of Appeals</t>
  </si>
  <si>
    <t>Housing Committee</t>
  </si>
  <si>
    <t>Police Department</t>
  </si>
  <si>
    <t>Fire Department</t>
  </si>
  <si>
    <t>Building Inspections</t>
  </si>
  <si>
    <t>Emergency Management</t>
  </si>
  <si>
    <t>Harbor Department</t>
  </si>
  <si>
    <t>Animal Inspector</t>
  </si>
  <si>
    <t>Shellfish Department</t>
  </si>
  <si>
    <t>Education</t>
  </si>
  <si>
    <t>Snow and Ice Removal</t>
  </si>
  <si>
    <t>Board of Health</t>
  </si>
  <si>
    <t>Library Department</t>
  </si>
  <si>
    <t>Historical Commission</t>
  </si>
  <si>
    <t>Budget</t>
  </si>
  <si>
    <t>Total Salaries</t>
  </si>
  <si>
    <t>Expended</t>
  </si>
  <si>
    <t>% increase</t>
  </si>
  <si>
    <t>TIMOTHY R. CARROLL</t>
  </si>
  <si>
    <t>EXECUTIVE  SECRETARY</t>
  </si>
  <si>
    <t>DIANA DEBLASE</t>
  </si>
  <si>
    <t>RECEPTIONIST/ASSISTANT</t>
  </si>
  <si>
    <t>C HODGKINSON</t>
  </si>
  <si>
    <t>CAS</t>
  </si>
  <si>
    <t>tbd</t>
  </si>
  <si>
    <t>TOWN ACCOUNTANT</t>
  </si>
  <si>
    <t>PAMELA BUNKER</t>
  </si>
  <si>
    <t>ASST. ASSESSOR</t>
  </si>
  <si>
    <t>MELANIE BECKER</t>
  </si>
  <si>
    <t>TREASURER</t>
  </si>
  <si>
    <t>G9/S8</t>
  </si>
  <si>
    <t>JESSICA BRADLEE</t>
  </si>
  <si>
    <t>TAX COLLECTOR</t>
  </si>
  <si>
    <t>JENNIFER CHRISTY</t>
  </si>
  <si>
    <t>TOWN CLERK</t>
  </si>
  <si>
    <t/>
  </si>
  <si>
    <t>RODNEY BUNKER</t>
  </si>
  <si>
    <t>MARJORIE HAYES</t>
  </si>
  <si>
    <t>CUSTODIAN #2</t>
  </si>
  <si>
    <t>FIRE CHIEF</t>
  </si>
  <si>
    <t>ADMINISTRATIVE ASST.</t>
  </si>
  <si>
    <t>POLICE CHIEF</t>
  </si>
  <si>
    <t>overtime rate</t>
  </si>
  <si>
    <t>JONATHAN KLAREN</t>
  </si>
  <si>
    <t>POLICE SERGEANT</t>
  </si>
  <si>
    <t>OIC pay - 9% per police contract</t>
  </si>
  <si>
    <t>SEAN SLAVIN</t>
  </si>
  <si>
    <t>SUMMER/SPECIAL (S)</t>
  </si>
  <si>
    <t>G6/S8</t>
  </si>
  <si>
    <t>TRAFFIC OFFICERS  (S)</t>
  </si>
  <si>
    <t>LEONARD JASON JR.</t>
  </si>
  <si>
    <t>INDIVID</t>
  </si>
  <si>
    <t>CHRIS MURPHY</t>
  </si>
  <si>
    <t>DOG OFFICER</t>
  </si>
  <si>
    <t>ASST. DOG OFFICER/D.A.I.</t>
  </si>
  <si>
    <t>varies</t>
  </si>
  <si>
    <t>HARBORMASTER</t>
  </si>
  <si>
    <t>ASST. HARBORMASTER (S)</t>
  </si>
  <si>
    <t>ADMIN ASST</t>
  </si>
  <si>
    <t>ASST. WHARFINGER (S)</t>
  </si>
  <si>
    <t>ISAIAH SCHEFFER</t>
  </si>
  <si>
    <t>ASST CONSTABLE</t>
  </si>
  <si>
    <t>KEITH L. EMIN</t>
  </si>
  <si>
    <t>SUPERINTENDENT OF STREETS</t>
  </si>
  <si>
    <t>CEMETERY SUPERINTENDENT</t>
  </si>
  <si>
    <t>MARINA LENT</t>
  </si>
  <si>
    <t>EBBA HIERTA</t>
  </si>
  <si>
    <t>LIBRARY DIRECTOR</t>
  </si>
  <si>
    <t>IRENE TEWKSBURY</t>
  </si>
  <si>
    <t>M. MASTROMONACO</t>
  </si>
  <si>
    <t>BEACH SUPERINTENDENT</t>
  </si>
  <si>
    <t>VARIOUS</t>
  </si>
  <si>
    <t>LIFEGUARDS (S)</t>
  </si>
  <si>
    <t>STICKER CLERKS (S)</t>
  </si>
  <si>
    <t>BEACH GATE GUARD (S)</t>
  </si>
  <si>
    <t>G4/S3</t>
  </si>
  <si>
    <t>PARKING ATTENDENT (S)</t>
  </si>
  <si>
    <t>GRADE</t>
  </si>
  <si>
    <t>STEP 1</t>
  </si>
  <si>
    <t>STEP 2</t>
  </si>
  <si>
    <t>STEP 3</t>
  </si>
  <si>
    <t>STEP 4</t>
  </si>
  <si>
    <t>STEP 5</t>
  </si>
  <si>
    <t>STEP 6</t>
  </si>
  <si>
    <t>STEP 7</t>
  </si>
  <si>
    <t>STEP 8</t>
  </si>
  <si>
    <t>COLA CALCULATION %</t>
  </si>
  <si>
    <t>Original Budget</t>
  </si>
  <si>
    <t>Rate/Hr</t>
  </si>
  <si>
    <t>Budgeted Hrs/Wk X 52.2 weeks</t>
  </si>
  <si>
    <t>Budgeted Salary</t>
  </si>
  <si>
    <t>Position</t>
  </si>
  <si>
    <t>G5/S8</t>
  </si>
  <si>
    <t>Martina Mastromonico</t>
  </si>
  <si>
    <t>SHELLFISH CONSTABLE</t>
  </si>
  <si>
    <t>Town of Chilmark</t>
  </si>
  <si>
    <t>$ increase</t>
  </si>
  <si>
    <t>INDIV</t>
  </si>
  <si>
    <t>Cultural Council</t>
  </si>
  <si>
    <t>FY2014</t>
  </si>
  <si>
    <t>MATT MONTANILLE</t>
  </si>
  <si>
    <t>Shellfish</t>
  </si>
  <si>
    <t>FREE CASH</t>
  </si>
  <si>
    <t>FY13</t>
  </si>
  <si>
    <t>FY12</t>
  </si>
  <si>
    <t>3 Year</t>
  </si>
  <si>
    <t>Department</t>
  </si>
  <si>
    <t>Under/(Over) Expended</t>
  </si>
  <si>
    <t>Budget % Increase</t>
  </si>
  <si>
    <t>$ Increase</t>
  </si>
  <si>
    <t>% Increase</t>
  </si>
  <si>
    <t>Avg % Increase</t>
  </si>
  <si>
    <t>114</t>
  </si>
  <si>
    <t>122</t>
  </si>
  <si>
    <t>131</t>
  </si>
  <si>
    <t>135</t>
  </si>
  <si>
    <t>136</t>
  </si>
  <si>
    <t>141</t>
  </si>
  <si>
    <t>145</t>
  </si>
  <si>
    <t>146</t>
  </si>
  <si>
    <t>151</t>
  </si>
  <si>
    <t>152</t>
  </si>
  <si>
    <t>161</t>
  </si>
  <si>
    <t>171</t>
  </si>
  <si>
    <t>175</t>
  </si>
  <si>
    <t>176</t>
  </si>
  <si>
    <t>179</t>
  </si>
  <si>
    <t>185</t>
  </si>
  <si>
    <t>192</t>
  </si>
  <si>
    <t>194</t>
  </si>
  <si>
    <t>196</t>
  </si>
  <si>
    <t>199</t>
  </si>
  <si>
    <t>Total General Government</t>
  </si>
  <si>
    <t>210</t>
  </si>
  <si>
    <t>220</t>
  </si>
  <si>
    <t>230</t>
  </si>
  <si>
    <t>241</t>
  </si>
  <si>
    <t>291</t>
  </si>
  <si>
    <t>292</t>
  </si>
  <si>
    <t>295</t>
  </si>
  <si>
    <t>296</t>
  </si>
  <si>
    <t>299</t>
  </si>
  <si>
    <t>Total Public Safety</t>
  </si>
  <si>
    <t>300</t>
  </si>
  <si>
    <t>Total Education</t>
  </si>
  <si>
    <t>422</t>
  </si>
  <si>
    <t>423</t>
  </si>
  <si>
    <t>430</t>
  </si>
  <si>
    <t>491</t>
  </si>
  <si>
    <t>Total Public Works</t>
  </si>
  <si>
    <t>510</t>
  </si>
  <si>
    <t>541</t>
  </si>
  <si>
    <t>Total Human Services</t>
  </si>
  <si>
    <t>610</t>
  </si>
  <si>
    <t>630</t>
  </si>
  <si>
    <t>650</t>
  </si>
  <si>
    <t>691</t>
  </si>
  <si>
    <t>699</t>
  </si>
  <si>
    <t>Total Culture &amp; Recreation</t>
  </si>
  <si>
    <t>710</t>
  </si>
  <si>
    <t>751</t>
  </si>
  <si>
    <t>752</t>
  </si>
  <si>
    <t>Total Debt Service</t>
  </si>
  <si>
    <t>840</t>
  </si>
  <si>
    <t>Total Intergovernmental</t>
  </si>
  <si>
    <t>910</t>
  </si>
  <si>
    <t>945</t>
  </si>
  <si>
    <t>Total Benefits &amp; Insurance</t>
  </si>
  <si>
    <t>F</t>
  </si>
  <si>
    <t>Dept</t>
  </si>
  <si>
    <t>departmental budgets</t>
  </si>
  <si>
    <t>raise &amp; appropriate articles</t>
  </si>
  <si>
    <t>tax rate</t>
  </si>
  <si>
    <t>FY07</t>
  </si>
  <si>
    <t>FY08</t>
  </si>
  <si>
    <t>FY09</t>
  </si>
  <si>
    <t>FY10</t>
  </si>
  <si>
    <t>FY11</t>
  </si>
  <si>
    <t>total tax</t>
  </si>
  <si>
    <t>overlay</t>
  </si>
  <si>
    <t>tax title</t>
  </si>
  <si>
    <t>cherry sheet charges (county, vta)</t>
  </si>
  <si>
    <t>snow &amp; ice deficit</t>
  </si>
  <si>
    <t>Library</t>
  </si>
  <si>
    <t>Health Care Benefits</t>
  </si>
  <si>
    <t>Payment Analysis</t>
  </si>
  <si>
    <t>Towns</t>
  </si>
  <si>
    <t>Employee</t>
  </si>
  <si>
    <t>PLAN</t>
  </si>
  <si>
    <t>Share</t>
  </si>
  <si>
    <t>Assessors</t>
  </si>
  <si>
    <t>S</t>
  </si>
  <si>
    <t>Police</t>
  </si>
  <si>
    <t>Clerk</t>
  </si>
  <si>
    <t>Various</t>
  </si>
  <si>
    <t xml:space="preserve">S </t>
  </si>
  <si>
    <t>Harbor</t>
  </si>
  <si>
    <t xml:space="preserve">Fire </t>
  </si>
  <si>
    <t>Retired</t>
  </si>
  <si>
    <t>Net Salaries</t>
  </si>
  <si>
    <t>County Retirement</t>
  </si>
  <si>
    <t>Workers Comp Salaries</t>
  </si>
  <si>
    <t>Clerical Salaries</t>
  </si>
  <si>
    <t>Municipal NOC</t>
  </si>
  <si>
    <t>DCRS</t>
  </si>
  <si>
    <t>self-pay</t>
  </si>
  <si>
    <t>ELLEN BISKIS</t>
  </si>
  <si>
    <t>G6/S3</t>
  </si>
  <si>
    <t>G8/S8</t>
  </si>
  <si>
    <t>YTD Jun</t>
  </si>
  <si>
    <t>TTA</t>
  </si>
  <si>
    <t>EMPLOYEE</t>
  </si>
  <si>
    <t>BECKER, M.</t>
  </si>
  <si>
    <t>BRADLEE, J</t>
  </si>
  <si>
    <t>Tax</t>
  </si>
  <si>
    <t>BUNKER, P.</t>
  </si>
  <si>
    <t>CARROLL, T.</t>
  </si>
  <si>
    <t>CHRISTY, J</t>
  </si>
  <si>
    <t>BISKIS, E.</t>
  </si>
  <si>
    <t>Accountant</t>
  </si>
  <si>
    <t>DEBLASE, D</t>
  </si>
  <si>
    <t>EMIN, K.</t>
  </si>
  <si>
    <t>HIERTA, EBBA</t>
  </si>
  <si>
    <t>HODGKINSON, C</t>
  </si>
  <si>
    <t>JASON, D</t>
  </si>
  <si>
    <t>JASON, L.</t>
  </si>
  <si>
    <t>Lent, M</t>
  </si>
  <si>
    <t>NORTON, D</t>
  </si>
  <si>
    <t>SCHEFFER, I</t>
  </si>
  <si>
    <t>SLAVIN, S</t>
  </si>
  <si>
    <t>TEWKSBURY, I</t>
  </si>
  <si>
    <t>COOK, A.</t>
  </si>
  <si>
    <t>D'AMICO, P.</t>
  </si>
  <si>
    <t>Larsen, S</t>
  </si>
  <si>
    <t>MCDOWELL, P.</t>
  </si>
  <si>
    <t>RICH, T.</t>
  </si>
  <si>
    <t>Rollins, P</t>
  </si>
  <si>
    <t>THOMPSON, C.</t>
  </si>
  <si>
    <t>YEOMANS, S</t>
  </si>
  <si>
    <t>ALLEN, C.</t>
  </si>
  <si>
    <t>BoA</t>
  </si>
  <si>
    <t>OLIVER, E.</t>
  </si>
  <si>
    <t>BUHRMAN, J</t>
  </si>
  <si>
    <t>BoH</t>
  </si>
  <si>
    <t>CARROLL, K.</t>
  </si>
  <si>
    <t>DOTY, W</t>
  </si>
  <si>
    <t>BoS</t>
  </si>
  <si>
    <t>ROSSI, W</t>
  </si>
  <si>
    <t>Retmier, B</t>
  </si>
  <si>
    <t>Montanile, M.</t>
  </si>
  <si>
    <t>EMIN, P.</t>
  </si>
  <si>
    <t>FENNER, MERRILY</t>
  </si>
  <si>
    <t>FENNER, F</t>
  </si>
  <si>
    <t>JARDIN, J.</t>
  </si>
  <si>
    <t>ORLANDO, M</t>
  </si>
  <si>
    <t>YEOMANS, F</t>
  </si>
  <si>
    <t>'01A</t>
  </si>
  <si>
    <t>YTD Budget June</t>
  </si>
  <si>
    <t>Total Budget (10)</t>
  </si>
  <si>
    <t>Actual (0)</t>
  </si>
  <si>
    <t>FY2015</t>
  </si>
  <si>
    <t>Account</t>
  </si>
  <si>
    <t>% Inc</t>
  </si>
  <si>
    <t>Requested</t>
  </si>
  <si>
    <t>Notes</t>
  </si>
  <si>
    <t>Salaries</t>
  </si>
  <si>
    <t>Expenses</t>
  </si>
  <si>
    <t>'01-114-5700-5730-00</t>
  </si>
  <si>
    <t>Total Expenses</t>
  </si>
  <si>
    <t>Total Department Salaries &amp; Expenses</t>
  </si>
  <si>
    <t>(Over)/Under Expended</t>
  </si>
  <si>
    <t>Budget % Inc</t>
  </si>
  <si>
    <t>'01-122-5100-5101-00</t>
  </si>
  <si>
    <t>5101</t>
  </si>
  <si>
    <t>3 @ $1500 per year</t>
  </si>
  <si>
    <t>'01-122-5100-5102-00</t>
  </si>
  <si>
    <t>5102</t>
  </si>
  <si>
    <t>'01-122-5100-5103-00</t>
  </si>
  <si>
    <t>5103</t>
  </si>
  <si>
    <t>'01-122-5100-5142-00</t>
  </si>
  <si>
    <t>5142</t>
  </si>
  <si>
    <t>'01-122-5100-5176-00</t>
  </si>
  <si>
    <t>5176</t>
  </si>
  <si>
    <t>5177</t>
  </si>
  <si>
    <t>'01-122-5700-5303-00</t>
  </si>
  <si>
    <t>5303</t>
  </si>
  <si>
    <t>'01-122-5700-5306-00</t>
  </si>
  <si>
    <t>5306</t>
  </si>
  <si>
    <t>'01-122-5700-5310-00</t>
  </si>
  <si>
    <t>5310</t>
  </si>
  <si>
    <t>'01-122-5700-5344-00</t>
  </si>
  <si>
    <t>5344</t>
  </si>
  <si>
    <t>'01-122-5700-5399-00</t>
  </si>
  <si>
    <t>5399</t>
  </si>
  <si>
    <t>'01-122-5700-5510-00</t>
  </si>
  <si>
    <t>5510</t>
  </si>
  <si>
    <t>'01-122-5700-5589-00</t>
  </si>
  <si>
    <t>5589</t>
  </si>
  <si>
    <t>'01-122-5700-5710-00</t>
  </si>
  <si>
    <t>5710</t>
  </si>
  <si>
    <t>'01-122-5700-5730-00</t>
  </si>
  <si>
    <t>5730</t>
  </si>
  <si>
    <t>Medicare</t>
  </si>
  <si>
    <t>Workers Compensation</t>
  </si>
  <si>
    <t>Unemployment Insurance</t>
  </si>
  <si>
    <t>% of County Retirement</t>
  </si>
  <si>
    <t>Health Insurance</t>
  </si>
  <si>
    <t>'01-131-5700-5420-00</t>
  </si>
  <si>
    <t>'01-131-5700-5730-00</t>
  </si>
  <si>
    <t>Assn of Town FinComm</t>
  </si>
  <si>
    <t>'01-135-5100-5104-00</t>
  </si>
  <si>
    <t>'01-135-5700-5248-00</t>
  </si>
  <si>
    <t>'01-135-5700-5303-00</t>
  </si>
  <si>
    <t>'01-135-5700-5306-00</t>
  </si>
  <si>
    <t>'01-135-5700-5344-00</t>
  </si>
  <si>
    <t>'01-135-5700-5420-00</t>
  </si>
  <si>
    <t>'01-135-5700-5582-00</t>
  </si>
  <si>
    <t>toner</t>
  </si>
  <si>
    <t>'01-135-5700-5710-00</t>
  </si>
  <si>
    <t>'01-135-5700-5730-00</t>
  </si>
  <si>
    <t>MMAAA, C&amp;I Town Accountants</t>
  </si>
  <si>
    <t>'01-136-5700-5304-00</t>
  </si>
  <si>
    <t>'01-141-5100-5105-00</t>
  </si>
  <si>
    <t>'01-141-5100-5101-00</t>
  </si>
  <si>
    <t>3 @ $500</t>
  </si>
  <si>
    <t>'01-141-5100-5120-00</t>
  </si>
  <si>
    <t>'01-141-5100-5142-00</t>
  </si>
  <si>
    <t>'01-141-5700-5247-00</t>
  </si>
  <si>
    <t>'01-141-5700-5248-00</t>
  </si>
  <si>
    <t>'01-141-5700-5303-00</t>
  </si>
  <si>
    <t>'01-141-5700-5313-00</t>
  </si>
  <si>
    <t>'01-141-5700-5341-00</t>
  </si>
  <si>
    <t>'01-141-5700-5344-00</t>
  </si>
  <si>
    <t>'01-141-5700-5420-00</t>
  </si>
  <si>
    <t>'01-141-5700-5582-00</t>
  </si>
  <si>
    <t>'01-141-5700-5588-00</t>
  </si>
  <si>
    <t>'01-141-5700-5595-00</t>
  </si>
  <si>
    <t>'01-141-5700-5710-00</t>
  </si>
  <si>
    <t>'01-141-5700-5711-00</t>
  </si>
  <si>
    <t>'01-141-5700-5730-00</t>
  </si>
  <si>
    <t>01-141-5700-5870-00</t>
  </si>
  <si>
    <t>'01-145-5100-5106-00</t>
  </si>
  <si>
    <t>'01-145-5100-5142-00</t>
  </si>
  <si>
    <t>'01-145-5700-5248-00</t>
  </si>
  <si>
    <t>'01-145-5700-5303-00</t>
  </si>
  <si>
    <t>'01-145-5700-5307-00</t>
  </si>
  <si>
    <t>'01-145-5700-5344-00</t>
  </si>
  <si>
    <t>'01-145-5700-5382-00</t>
  </si>
  <si>
    <t>'01-145-5700-5420-00</t>
  </si>
  <si>
    <t>'01-145-5700-5710-00</t>
  </si>
  <si>
    <t>'01-145-5700-5730-00</t>
  </si>
  <si>
    <t>'01-145-5700-5741-00</t>
  </si>
  <si>
    <t>'01-146-5100-5107-00</t>
  </si>
  <si>
    <t>'01-146-5700-5248-00</t>
  </si>
  <si>
    <t>'01-146-5700-5303-00</t>
  </si>
  <si>
    <t>'01-146-5700-5306-00</t>
  </si>
  <si>
    <t>'01-146-5700-5341-00</t>
  </si>
  <si>
    <t>'01-146-5700-5344-00</t>
  </si>
  <si>
    <t>'01-146-5700-5420-00</t>
  </si>
  <si>
    <t>'01-146-5700-5421-00</t>
  </si>
  <si>
    <t>'01-146-5700-5582-00</t>
  </si>
  <si>
    <t>'01-146-5700-5710-00</t>
  </si>
  <si>
    <t>'01-146-5700-5730-00</t>
  </si>
  <si>
    <t>'01-146-5700-5741-00</t>
  </si>
  <si>
    <t>'01-151-5700-5305-00</t>
  </si>
  <si>
    <t>'01-151-5700-5306-00</t>
  </si>
  <si>
    <t>'01-151-5700-5319-00</t>
  </si>
  <si>
    <t>Human Resource Board</t>
  </si>
  <si>
    <t xml:space="preserve"> % Inc</t>
  </si>
  <si>
    <t>'01-152-5100-5108-00</t>
  </si>
  <si>
    <t>'01-152-5700-5303-00</t>
  </si>
  <si>
    <t>'01-152-5700-5306-00</t>
  </si>
  <si>
    <t>'01-152-5700-5344-00</t>
  </si>
  <si>
    <t>'01-152-5700-5710-00</t>
  </si>
  <si>
    <t>'01-152-5700-5730-00</t>
  </si>
  <si>
    <t>'01-161-5100-5109-00</t>
  </si>
  <si>
    <t>'01-161-5700-5303-00</t>
  </si>
  <si>
    <t>'01-161-5700-5306-00</t>
  </si>
  <si>
    <t>'01-161-5700-5309-00</t>
  </si>
  <si>
    <t>'01-161-5700-5343-00</t>
  </si>
  <si>
    <t>'01-161-5700-5344-00</t>
  </si>
  <si>
    <t>'01-161-5700-5385-00</t>
  </si>
  <si>
    <t>'01-161-5700-5386-00</t>
  </si>
  <si>
    <t>'01-161-5700-5420-00</t>
  </si>
  <si>
    <t>'01-161-5700-5582-00</t>
  </si>
  <si>
    <t>'01-161-5700-5589-00</t>
  </si>
  <si>
    <t>'01-161-5700-5710-00</t>
  </si>
  <si>
    <t>'01-161-5700-5730-00</t>
  </si>
  <si>
    <t>'01-161-5700-5741-00</t>
  </si>
  <si>
    <t>'01-171-5100-5108-00</t>
  </si>
  <si>
    <t>5108</t>
  </si>
  <si>
    <t>'01-171-5100-5114-00</t>
  </si>
  <si>
    <t>'01-171-5700-5303-00</t>
  </si>
  <si>
    <t>'01-171-5700-5306-00</t>
  </si>
  <si>
    <t>'01-171-5700-5344-00</t>
  </si>
  <si>
    <t>'01-171-5700-5710-00</t>
  </si>
  <si>
    <t>'01-171-5700-5730-00</t>
  </si>
  <si>
    <t>'01-175-5100-5108-00</t>
  </si>
  <si>
    <t>'01-175-5700-5303-00</t>
  </si>
  <si>
    <t>'01-175-5700-5305-00</t>
  </si>
  <si>
    <t>'01-175-5700-5306-00</t>
  </si>
  <si>
    <t>'01-175-5700-5314-00</t>
  </si>
  <si>
    <t>'01-175-5700-5343-00</t>
  </si>
  <si>
    <t>'01-175-5700-5344-00</t>
  </si>
  <si>
    <t>'01-175-5700-5399-00</t>
  </si>
  <si>
    <t>'01-175-5700-5420-00</t>
  </si>
  <si>
    <t>'01-175-5700-5589-00</t>
  </si>
  <si>
    <t>'01-175-5700-5710-00</t>
  </si>
  <si>
    <t>'01-175-5700-5730-00</t>
  </si>
  <si>
    <t>'01-176-5100-5108-00</t>
  </si>
  <si>
    <t>'01-176-5700-5306-00</t>
  </si>
  <si>
    <t>'01-176-5700-5344-00</t>
  </si>
  <si>
    <t>'01-176-5700-5589-00</t>
  </si>
  <si>
    <t>'01-176-5700-5730-00</t>
  </si>
  <si>
    <t>'01-179-5100-5108-00</t>
  </si>
  <si>
    <t>'01-179-5700-5306-00</t>
  </si>
  <si>
    <t>01-179-5700-5343-00</t>
  </si>
  <si>
    <t>'01-179-5700-5399-00</t>
  </si>
  <si>
    <t>'01-179-5700-5420-00</t>
  </si>
  <si>
    <t>'01-179-5700-5730-00</t>
  </si>
  <si>
    <t>'01-185-5100-5108-00</t>
  </si>
  <si>
    <t>'01-185-5700-5303-00</t>
  </si>
  <si>
    <t>'01-185-5700-5306-00</t>
  </si>
  <si>
    <t>'01-185-5700-5344-00</t>
  </si>
  <si>
    <t>'01-185-5700-5420-00</t>
  </si>
  <si>
    <t>'01-185-5700-5700-00</t>
  </si>
  <si>
    <t>'01-192-5100-5115-00</t>
  </si>
  <si>
    <t>01-192-5100-5142-00</t>
  </si>
  <si>
    <t>'01-192-5100-5149-00</t>
  </si>
  <si>
    <t>'01-192-5700-5210-00</t>
  </si>
  <si>
    <t>'01-192-5700-5211-00</t>
  </si>
  <si>
    <t>'01-192-5700-5241-00</t>
  </si>
  <si>
    <t>'01-192-5700-5245-00</t>
  </si>
  <si>
    <t>'01-192-5700-5247-00</t>
  </si>
  <si>
    <t>'01-192-5700-5248-00</t>
  </si>
  <si>
    <t>'01-192-5700-5250-00</t>
  </si>
  <si>
    <t>'01-192-5700-5262-00</t>
  </si>
  <si>
    <t>'01-192-5700-5293-00</t>
  </si>
  <si>
    <t>'01-192-5700-5295-00</t>
  </si>
  <si>
    <t>'01-192-5700-5306-00</t>
  </si>
  <si>
    <t>'01-192-5700-5341-00</t>
  </si>
  <si>
    <t>'01-192-5700-5344-00</t>
  </si>
  <si>
    <t>'01-192-5700-5399-00</t>
  </si>
  <si>
    <t>'01-192-5700-5420-00</t>
  </si>
  <si>
    <t>'01-192-5700-5422-00</t>
  </si>
  <si>
    <t>'01-192-5700-5430-00</t>
  </si>
  <si>
    <t>'01-192-5700-5450-00</t>
  </si>
  <si>
    <t>'01-192-5700-5510-00</t>
  </si>
  <si>
    <t>'01-192-5700-5582-00</t>
  </si>
  <si>
    <t>'01-192-5700-5589-00</t>
  </si>
  <si>
    <t>'01-192-5700-5595-00</t>
  </si>
  <si>
    <t>'01-192-5700-5850-00</t>
  </si>
  <si>
    <t>'01-192-5700-5870-00</t>
  </si>
  <si>
    <t>'01-194-5700-5210-00</t>
  </si>
  <si>
    <t>'01-194-5700-5211-00</t>
  </si>
  <si>
    <t>'01-194-5700-5241-00</t>
  </si>
  <si>
    <t>'01-194-5700-5245-00</t>
  </si>
  <si>
    <t>'01-194-5700-5295-00</t>
  </si>
  <si>
    <t>'01-194-5700-5399-00</t>
  </si>
  <si>
    <t>'01-194-5700-5430-00</t>
  </si>
  <si>
    <t>'01-194-5700-5450-00</t>
  </si>
  <si>
    <t>'01-194-5700-5589-00</t>
  </si>
  <si>
    <t>'01-194-5700-5850-00</t>
  </si>
  <si>
    <t>'01-194-5700-5870-00</t>
  </si>
  <si>
    <t>'01-196-5700-5399-00</t>
  </si>
  <si>
    <t>'01-196-5700-5589-00</t>
  </si>
  <si>
    <t>'01-198-5700-5210-00</t>
  </si>
  <si>
    <t>'01-198-5700-5211-00</t>
  </si>
  <si>
    <t>'01-198-5700-5242-00</t>
  </si>
  <si>
    <t>'01-198-5700-5430-00</t>
  </si>
  <si>
    <t>'01-198-5700-5450-00</t>
  </si>
  <si>
    <t>'01-198-5700-5850-00</t>
  </si>
  <si>
    <t>'01-199-5700-5210-00</t>
  </si>
  <si>
    <t>'01-199-5700-5230-00</t>
  </si>
  <si>
    <t>'01-199-5700-5242-00</t>
  </si>
  <si>
    <t>'01-199-5700-5293-00</t>
  </si>
  <si>
    <t>'01-199-5700-5295-00</t>
  </si>
  <si>
    <t>'01-199-5700-5399-00</t>
  </si>
  <si>
    <t>'01-210-5100-5116-00</t>
  </si>
  <si>
    <t>'01-210-5100-5117-00</t>
  </si>
  <si>
    <t>'01-210-5100-5119-00</t>
  </si>
  <si>
    <t>'01-210-5100-5121-00</t>
  </si>
  <si>
    <t>01-210-5100-5191-00</t>
  </si>
  <si>
    <t>'01-210-5100-5130-00</t>
  </si>
  <si>
    <t>'01-210-5100-5140-00</t>
  </si>
  <si>
    <t>'01-210-5100-5141-00</t>
  </si>
  <si>
    <t>'01-210-5100-5142-00</t>
  </si>
  <si>
    <t>'01-210-5100-5143-00</t>
  </si>
  <si>
    <t>'01-210-5100-5150-00</t>
  </si>
  <si>
    <t>'01-210-5100-5164-00</t>
  </si>
  <si>
    <t>'01-210-5100-5186-00</t>
  </si>
  <si>
    <t>'01-210-5100-5190-00</t>
  </si>
  <si>
    <t>'01-210-5700-5210-00</t>
  </si>
  <si>
    <t>'01-210-5700-5211-00</t>
  </si>
  <si>
    <t>'01-210-5700-5239-00</t>
  </si>
  <si>
    <t>'01-210-5700-5241-00</t>
  </si>
  <si>
    <t>'01-210-5700-5243-00</t>
  </si>
  <si>
    <t>'01-210-5700-5245-00</t>
  </si>
  <si>
    <t>'01-210-5700-5247-00</t>
  </si>
  <si>
    <t>'01-210-5700-5303-00</t>
  </si>
  <si>
    <t>'01-210-5700-5306-00</t>
  </si>
  <si>
    <t>'01-210-5700-5341-00</t>
  </si>
  <si>
    <t>'01-210-5700-5344-00</t>
  </si>
  <si>
    <t>'01-210-5700-5420-00</t>
  </si>
  <si>
    <t>'01-210-5700-5430-00</t>
  </si>
  <si>
    <t>'01-210-5700-5450-00</t>
  </si>
  <si>
    <t>'01-210-5700-5481-00</t>
  </si>
  <si>
    <t>'01-210-5700-5482-00</t>
  </si>
  <si>
    <t>'01-210-5700-5510-00</t>
  </si>
  <si>
    <t>'01-210-5700-5583-00</t>
  </si>
  <si>
    <t>'01-210-5700-5585-00</t>
  </si>
  <si>
    <t>'01-210-5700-5589-00</t>
  </si>
  <si>
    <t>'01-210-5700-5590-00</t>
  </si>
  <si>
    <t>'01-210-5700-5595-00</t>
  </si>
  <si>
    <t>'01-210-5700-5730-00</t>
  </si>
  <si>
    <t>'01-210-5700-5850-00</t>
  </si>
  <si>
    <t>'01-210-5700-5870-00</t>
  </si>
  <si>
    <t>'01-220-5100-5108-00</t>
  </si>
  <si>
    <t>'01-220-5100-5111-00</t>
  </si>
  <si>
    <t>'01-220-5100-5125-00</t>
  </si>
  <si>
    <t>'01-220-5100-5126-00</t>
  </si>
  <si>
    <t>'01-220-5100-5163-00</t>
  </si>
  <si>
    <t>'01-220-5100-5187-00</t>
  </si>
  <si>
    <t>'01-220-5700-5210-00</t>
  </si>
  <si>
    <t>'01-220-5700-5211-00</t>
  </si>
  <si>
    <t>'01-220-5700-5241-00</t>
  </si>
  <si>
    <t>'01-220-5700-5243-00</t>
  </si>
  <si>
    <t>'01-220-5700-5245-00</t>
  </si>
  <si>
    <t>'01-220-5700-5248-00</t>
  </si>
  <si>
    <t>'01-220-5700-5251-00</t>
  </si>
  <si>
    <t>'01-220-5700-5295-00</t>
  </si>
  <si>
    <t>old septic malfunction</t>
  </si>
  <si>
    <t>'01-220-5700-5344-00</t>
  </si>
  <si>
    <t>'01-220-5700-5341-00</t>
  </si>
  <si>
    <t>'01-220-5700-5430-00</t>
  </si>
  <si>
    <t>'01-220-5700-5481-00</t>
  </si>
  <si>
    <t>'01-220-5700-5482-00</t>
  </si>
  <si>
    <t>'01-220-5700-5581-00</t>
  </si>
  <si>
    <t>'01-220-5700-5585-00</t>
  </si>
  <si>
    <t>'01-220-5700-5587-00</t>
  </si>
  <si>
    <t>'01-220-5700-5589-00</t>
  </si>
  <si>
    <t>'01-220-5700-5593-00</t>
  </si>
  <si>
    <t>'01-220-5700-5595-00</t>
  </si>
  <si>
    <t>'01-220-5700-5710-00</t>
  </si>
  <si>
    <t>'01-220-5700-5711-00</t>
  </si>
  <si>
    <t>'01-220-5700-5730-00</t>
  </si>
  <si>
    <t>'01-220-5700-5850-00</t>
  </si>
  <si>
    <t>'01-220-5700-5870-00</t>
  </si>
  <si>
    <t>'01-220-5700-5874-00</t>
  </si>
  <si>
    <t>Tri-Town Ambulance</t>
  </si>
  <si>
    <t>'29-231-8231-5188-00</t>
  </si>
  <si>
    <t>'29-231-8231-5122-00</t>
  </si>
  <si>
    <t>'29-231-8231-5160-00</t>
  </si>
  <si>
    <t>'29-231-8231-5161-00</t>
  </si>
  <si>
    <t>'29-231-8231-5167-00</t>
  </si>
  <si>
    <t>'29-231-8231-5168-00</t>
  </si>
  <si>
    <t>'29-231-8231-5180-00</t>
  </si>
  <si>
    <t>'29-231-8231-5165-00</t>
  </si>
  <si>
    <t>'29-231-8231-5185-00</t>
  </si>
  <si>
    <t>'29-231-8231-5179-00</t>
  </si>
  <si>
    <t>'29-231-8231-5123-00</t>
  </si>
  <si>
    <t>'29-231-8231-5124-00</t>
  </si>
  <si>
    <t>'29-231-8231-5186-00</t>
  </si>
  <si>
    <t>'29-231-8231-5142-00</t>
  </si>
  <si>
    <t>'29-231-8231-5744-00</t>
  </si>
  <si>
    <t>'29-231-8231-5173-00</t>
  </si>
  <si>
    <t>'29-231-8231-5211-00</t>
  </si>
  <si>
    <t>'29-231-8231-5243-00</t>
  </si>
  <si>
    <t>'29-231-8231-5244-00</t>
  </si>
  <si>
    <t>'29-231-8231-5247-00</t>
  </si>
  <si>
    <t>'29-231-8231-5251-00</t>
  </si>
  <si>
    <t>'29-231-8231-5255-00</t>
  </si>
  <si>
    <t>'29-231-8231-5293-00</t>
  </si>
  <si>
    <t>'29-231-8231-5303-00</t>
  </si>
  <si>
    <t>'29-231-8231-5306-00</t>
  </si>
  <si>
    <t>cost to post job openings</t>
  </si>
  <si>
    <t>'29-231-8231-5341-00</t>
  </si>
  <si>
    <t>'29-231-8231-5344-00</t>
  </si>
  <si>
    <t>'29-231-8231-5345-00</t>
  </si>
  <si>
    <t>'29-231-8231-5399-00</t>
  </si>
  <si>
    <t>'29-231-8231-5415-00</t>
  </si>
  <si>
    <t>'29-231-8231-5420-00</t>
  </si>
  <si>
    <t>'29-231-8231-5481-00</t>
  </si>
  <si>
    <t>'29-231-8231-5482-00</t>
  </si>
  <si>
    <t>'29-231-8231-5500-00</t>
  </si>
  <si>
    <t>'29-231-8231-5585-00</t>
  </si>
  <si>
    <t>'29-231-8231-5589-00</t>
  </si>
  <si>
    <t>'29-231-8231-5595-00</t>
  </si>
  <si>
    <t>'29-231-8231-5710-00</t>
  </si>
  <si>
    <t>'29-231-8231-5711-00</t>
  </si>
  <si>
    <t>reimburse for personal vehicle usage</t>
  </si>
  <si>
    <t>'29-231-8231-5730-00</t>
  </si>
  <si>
    <t>'29-231-8231-5740-00</t>
  </si>
  <si>
    <t>'29-231-8231-5742-00</t>
  </si>
  <si>
    <t>'29-231-8231-5850-00</t>
  </si>
  <si>
    <t>'29-231-8231-5870-00</t>
  </si>
  <si>
    <t>'29-231-8231-5871-00</t>
  </si>
  <si>
    <t>'29-231-8231-5872-00</t>
  </si>
  <si>
    <t>'29-231-8231-5873-00</t>
  </si>
  <si>
    <t>'29-231-8231-5875-00</t>
  </si>
  <si>
    <t>'29-231-8231-4972-00</t>
  </si>
  <si>
    <t>Net Budget</t>
  </si>
  <si>
    <t>Assessment to each Town</t>
  </si>
  <si>
    <t>'01-241-5100-5127-00</t>
  </si>
  <si>
    <t>'01-241-5100-5142-00</t>
  </si>
  <si>
    <t>'01-241-5100-5146-00</t>
  </si>
  <si>
    <t>'01-241-5100-5147-00</t>
  </si>
  <si>
    <t>'01-241-5100-5148-00</t>
  </si>
  <si>
    <t>'01-241-5700-5589-00</t>
  </si>
  <si>
    <t>'01-241-5700-5710-00</t>
  </si>
  <si>
    <t>'01-241-5700-5303-00</t>
  </si>
  <si>
    <t>'01-241-5700-5711-00</t>
  </si>
  <si>
    <t>'01-291-5100-5108-00</t>
  </si>
  <si>
    <t>'01-291-5700-5251-00</t>
  </si>
  <si>
    <t>'01-291-5700-5399-00</t>
  </si>
  <si>
    <t>'01-291-5700-5589-00</t>
  </si>
  <si>
    <t>'01-291-5700-5700-00</t>
  </si>
  <si>
    <t>'01-291-5700-5730-00</t>
  </si>
  <si>
    <t>'01-292-5100-5128-00</t>
  </si>
  <si>
    <t>'01-292-5100-5178-00</t>
  </si>
  <si>
    <t>2 assisstants @ $1,000 each</t>
  </si>
  <si>
    <t>'01-292-5700-5301-00</t>
  </si>
  <si>
    <t>'01-292-5700-5306-00</t>
  </si>
  <si>
    <t>'01-292-5700-5341-00</t>
  </si>
  <si>
    <t>'01-292-5700-5701-00</t>
  </si>
  <si>
    <t>'01-292-5700-5711-00</t>
  </si>
  <si>
    <t>'01-295-5100-5108-00</t>
  </si>
  <si>
    <t>'01-295-5100-5129-00</t>
  </si>
  <si>
    <t>'01-295-5100-5142-00</t>
  </si>
  <si>
    <t>'01-295-5100-5131-00</t>
  </si>
  <si>
    <t>'01-295-5100-5137-00</t>
  </si>
  <si>
    <t>'01-295-5700-5210-00</t>
  </si>
  <si>
    <t>'01-295-5700-5230-00</t>
  </si>
  <si>
    <t>'01-295-5700-5242-00</t>
  </si>
  <si>
    <t>'01-295-5700-5245-00</t>
  </si>
  <si>
    <t>'01-295-5700-5247-00</t>
  </si>
  <si>
    <t>'01-295-5700-5251-00</t>
  </si>
  <si>
    <t>'01-295-5700-5260-00</t>
  </si>
  <si>
    <t>'01-295-5700-5293-00</t>
  </si>
  <si>
    <t>'01-295-5700-5295-00</t>
  </si>
  <si>
    <t>'01-295-5700-5303-00</t>
  </si>
  <si>
    <t>'01-295-5700-5306-00</t>
  </si>
  <si>
    <t>'01-295-5700-5341-00</t>
  </si>
  <si>
    <t>'01-295-5700-5343-00</t>
  </si>
  <si>
    <t>'01-295-5700-5344-00</t>
  </si>
  <si>
    <t>'01-295-5700-5399-00</t>
  </si>
  <si>
    <t>'01-295-5700-5420-00</t>
  </si>
  <si>
    <t>'01-295-5700-5430-00</t>
  </si>
  <si>
    <t>'01-295-5700-5483-00</t>
  </si>
  <si>
    <t>'01-295-5700-5510-00</t>
  </si>
  <si>
    <t>'01-295-5700-5532-00</t>
  </si>
  <si>
    <t>'01-295-5700-5585-00</t>
  </si>
  <si>
    <t>'01-295-5700-5589-00</t>
  </si>
  <si>
    <t>'01-295-5700-5730-00</t>
  </si>
  <si>
    <t>'01-295-5700-5731-00</t>
  </si>
  <si>
    <t>'01-295-5700-5850-00</t>
  </si>
  <si>
    <t>'01-296-5700-5315-00</t>
  </si>
  <si>
    <t>'01-299-5100-5132-00</t>
  </si>
  <si>
    <t>'01-299-5100-5133-00</t>
  </si>
  <si>
    <t>'01-299-5700-5271-00</t>
  </si>
  <si>
    <t>'01-299-5700-5303-00</t>
  </si>
  <si>
    <t>'01-299-5700-5306-00</t>
  </si>
  <si>
    <t>'01-299-5700-5384-00</t>
  </si>
  <si>
    <t>'01-299-5700-5399-00</t>
  </si>
  <si>
    <t>'01-299-5700-5483-00</t>
  </si>
  <si>
    <t>'01-299-5700-5589-00</t>
  </si>
  <si>
    <t>'01-299-5700-5591-00</t>
  </si>
  <si>
    <t>'01-299-5700-5693-00</t>
  </si>
  <si>
    <t>'01-300-5700-5694-00</t>
  </si>
  <si>
    <t>'01-300-5700-5695-00</t>
  </si>
  <si>
    <t>'01-422-5100-5101-00</t>
  </si>
  <si>
    <t>Tree Warden</t>
  </si>
  <si>
    <t>'01-422-5100-5120-00</t>
  </si>
  <si>
    <t>'01-422-5100-5135-00</t>
  </si>
  <si>
    <t>'01-422-5100-5142-00</t>
  </si>
  <si>
    <t>'01-422-5700-5210-00</t>
  </si>
  <si>
    <t>'01-422-5700-5211-00</t>
  </si>
  <si>
    <t>'01-422-5700-5215-00</t>
  </si>
  <si>
    <t>'01-422-5700-5241-00</t>
  </si>
  <si>
    <t>'01-422-5700-5245-00</t>
  </si>
  <si>
    <t>'01-422-5700-5246-00</t>
  </si>
  <si>
    <t>'01-422-5700-5253-00</t>
  </si>
  <si>
    <t>'01-422-5700-5256-00</t>
  </si>
  <si>
    <t>'01-422-5700-5257-00</t>
  </si>
  <si>
    <t>'01-422-5700-5263-00</t>
  </si>
  <si>
    <t>'01-422-5700-5264-00</t>
  </si>
  <si>
    <t>'01-422-5700-5272-00</t>
  </si>
  <si>
    <t>'01-422-5700-5303-00</t>
  </si>
  <si>
    <t>'01-422-5700-5341-00</t>
  </si>
  <si>
    <t>'01-422-5700-5420-00</t>
  </si>
  <si>
    <t>'01-422-5700-5530-00</t>
  </si>
  <si>
    <t>'01-422-5700-5531-00</t>
  </si>
  <si>
    <t>'01-422-5700-5532-00</t>
  </si>
  <si>
    <t>'01-422-5700-5585-00</t>
  </si>
  <si>
    <t>'01-422-5700-5595-00</t>
  </si>
  <si>
    <t>'01-422-5700-5710-00</t>
  </si>
  <si>
    <t>'01-422-5700-5730-00</t>
  </si>
  <si>
    <t>'01-422-5700-5780-00</t>
  </si>
  <si>
    <t>'01-422-5700-5850-00</t>
  </si>
  <si>
    <t>'01-423-5700-5245-00</t>
  </si>
  <si>
    <t>'01-423-5700-5292-00</t>
  </si>
  <si>
    <t>'01-423-5700-5533-00</t>
  </si>
  <si>
    <t>'01-430-5700-5210-00</t>
  </si>
  <si>
    <t>'01-430-5700-5211-00</t>
  </si>
  <si>
    <t>'01-430-5700-5236-00</t>
  </si>
  <si>
    <t>'01-430-5700-5294-00</t>
  </si>
  <si>
    <t>'01-430-5700-5297-00</t>
  </si>
  <si>
    <t>'01-430-5700-5302-00</t>
  </si>
  <si>
    <t>'01-430-5700-5315-00</t>
  </si>
  <si>
    <t>'01-430-5700-5691-00</t>
  </si>
  <si>
    <t>Cemetary Commission</t>
  </si>
  <si>
    <t>'01-491-5100-5136-00</t>
  </si>
  <si>
    <t>'01-491-5100-5120-00</t>
  </si>
  <si>
    <t>'01-491-5700-5241-00</t>
  </si>
  <si>
    <t>'01-491-5700-5245-00</t>
  </si>
  <si>
    <t>'01-491-5700-5254-00</t>
  </si>
  <si>
    <t>'01-491-5700-5306-00</t>
  </si>
  <si>
    <t>'01-491-5700-5344-00</t>
  </si>
  <si>
    <t>'01-491-5700-5430-00</t>
  </si>
  <si>
    <t>posts, split-rail fencing</t>
  </si>
  <si>
    <t>'01-491-5700-5460-00</t>
  </si>
  <si>
    <t>gas &amp; oil, seedling trees</t>
  </si>
  <si>
    <t>'01-491-5700-5589-00</t>
  </si>
  <si>
    <t>'01-491-5700-5711-00</t>
  </si>
  <si>
    <t>'01-491-5700-5730-00</t>
  </si>
  <si>
    <t>'01-491-5700-5850-00</t>
  </si>
  <si>
    <t>'01-510-5100-5101-00</t>
  </si>
  <si>
    <t>'01-510-5100-5138-00</t>
  </si>
  <si>
    <t>'01-510-5700-5296-00</t>
  </si>
  <si>
    <t>'01-510-5700-5301-00</t>
  </si>
  <si>
    <t>'01-510-5700-5303-00</t>
  </si>
  <si>
    <t>'01-510-5700-5306-00</t>
  </si>
  <si>
    <t>'01-510-5700-5316-00</t>
  </si>
  <si>
    <t>'01-510-5700-5317-00</t>
  </si>
  <si>
    <t>'01-510-5700-5344-00</t>
  </si>
  <si>
    <t>'01-510-5700-5399-00</t>
  </si>
  <si>
    <t>'01-510-5700-5420-00</t>
  </si>
  <si>
    <t>'01-510-5700-5589-00</t>
  </si>
  <si>
    <t>'01-510-5700-5710-00</t>
  </si>
  <si>
    <t>'01-510-5700-5730-00</t>
  </si>
  <si>
    <t>'01-541-5700-5687-00</t>
  </si>
  <si>
    <t>'01-541-5700-5688-00</t>
  </si>
  <si>
    <t>'01-541-5700-5696-00</t>
  </si>
  <si>
    <t>'01-610-5100-5142-00</t>
  </si>
  <si>
    <t>'01-610-5100-5151-00</t>
  </si>
  <si>
    <t>'01-610-5100-5152-00</t>
  </si>
  <si>
    <t>'01-610-5100-5153-00</t>
  </si>
  <si>
    <t>'01-610-5100-5154-00</t>
  </si>
  <si>
    <t>'01-610-5700-5210-00</t>
  </si>
  <si>
    <t>'01-610-5700-5211-00</t>
  </si>
  <si>
    <t>'01-610-5700-5241-00</t>
  </si>
  <si>
    <t>'01-610-5700-5242-00</t>
  </si>
  <si>
    <t>'01-610-5700-5245-00</t>
  </si>
  <si>
    <t>'01-610-5700-5247-00</t>
  </si>
  <si>
    <t>'01-610-5700-5248-00</t>
  </si>
  <si>
    <t>'01-610-5700-5293-00</t>
  </si>
  <si>
    <t>'01-610-5700-5303-00</t>
  </si>
  <si>
    <t>'01-610-5700-5306-00</t>
  </si>
  <si>
    <t>'01-610-5700-5309-00</t>
  </si>
  <si>
    <t>'01-610-5700-5341-00</t>
  </si>
  <si>
    <t>'01-610-5700-5344-00</t>
  </si>
  <si>
    <t>'01-610-5700-5383-00</t>
  </si>
  <si>
    <t>'01-610-5700-5420-00</t>
  </si>
  <si>
    <t>'01-610-5700-5450-00</t>
  </si>
  <si>
    <t>'01-610-5700-5510-00</t>
  </si>
  <si>
    <t>'01-610-5700-5511-00</t>
  </si>
  <si>
    <t>'01-610-5700-5513-00</t>
  </si>
  <si>
    <t>'01-610-5700-5586-00</t>
  </si>
  <si>
    <t>'01-610-5700-5587-00</t>
  </si>
  <si>
    <t>'01-610-5700-5589-00</t>
  </si>
  <si>
    <t>'01-610-5700-5595-00</t>
  </si>
  <si>
    <t>'01-610-5700-5710-00</t>
  </si>
  <si>
    <t>'01-610-5700-5730-00</t>
  </si>
  <si>
    <t>Beach Department</t>
  </si>
  <si>
    <t>'01-630-5100-5155-00</t>
  </si>
  <si>
    <t>'01-630-5100-5183-00</t>
  </si>
  <si>
    <t>'01-630-5100-5156-00</t>
  </si>
  <si>
    <t>'01-630-5100-5157-00</t>
  </si>
  <si>
    <t>'01-630-5100-5158-00</t>
  </si>
  <si>
    <t>'01-630-5100-5159-00</t>
  </si>
  <si>
    <t>'01-630-5700-5210-00</t>
  </si>
  <si>
    <t>'01-630-5700-5242-00</t>
  </si>
  <si>
    <t>'01-630-5700-5245-00</t>
  </si>
  <si>
    <t>'01-630-5700-5247-00</t>
  </si>
  <si>
    <t>'01-630-5700-5251-00</t>
  </si>
  <si>
    <t>'01-630-5700-5293-00</t>
  </si>
  <si>
    <t>'01-630-5700-5296-00</t>
  </si>
  <si>
    <t>'01-630-5700-5303-00</t>
  </si>
  <si>
    <t>'01-630-5700-5306-00</t>
  </si>
  <si>
    <t>'01-630-5700-5325-00</t>
  </si>
  <si>
    <t>'01-630-5700-5341-00</t>
  </si>
  <si>
    <t>'01-630-5700-5343-00</t>
  </si>
  <si>
    <t>'01-630-5700-5344-00</t>
  </si>
  <si>
    <t>'01-630-5700-5399-00</t>
  </si>
  <si>
    <t>'01-630-5700-5420-00</t>
  </si>
  <si>
    <t>'01-630-5700-5430-00</t>
  </si>
  <si>
    <t>'01-630-5700-5532-00</t>
  </si>
  <si>
    <t>'01-630-5700-5582-00</t>
  </si>
  <si>
    <t>'01-630-5700-5584-00</t>
  </si>
  <si>
    <t>'01-630-5700-5585-00</t>
  </si>
  <si>
    <t>'01-630-5700-5589-00</t>
  </si>
  <si>
    <t>'01-630-5700-5595-00</t>
  </si>
  <si>
    <t>'01-630-5700-5711-00</t>
  </si>
  <si>
    <t>'01-630-5700-5740-00</t>
  </si>
  <si>
    <t>'01-630-5700-5850-00</t>
  </si>
  <si>
    <t>'01-630-5700-5870-00</t>
  </si>
  <si>
    <t>Parks</t>
  </si>
  <si>
    <t>'01-650-5700-5399-00</t>
  </si>
  <si>
    <t>'01-691-5100-5108-00</t>
  </si>
  <si>
    <t>'01-691-5700-5399-00</t>
  </si>
  <si>
    <t>'01-691-5700-5730-00</t>
  </si>
  <si>
    <t>Retirement of Debt - Principal</t>
  </si>
  <si>
    <t>'01-710-5700-5909-00</t>
  </si>
  <si>
    <t>'01-710-5700-5910-00</t>
  </si>
  <si>
    <t>'01-710-5700-5913-00</t>
  </si>
  <si>
    <t>'01-710-5700-5915-00</t>
  </si>
  <si>
    <t>'01-710-5700-5916-00</t>
  </si>
  <si>
    <t>'01-710-5700-5917-00</t>
  </si>
  <si>
    <t>'01-710-5700-5918-00</t>
  </si>
  <si>
    <t>'01-710-5700-5920-00</t>
  </si>
  <si>
    <t>Retirement of Debt - Interest</t>
  </si>
  <si>
    <t>'01-751-5700-5909-00</t>
  </si>
  <si>
    <t>'01-751-5700-5910-00</t>
  </si>
  <si>
    <t>'01-751-5700-5913-00</t>
  </si>
  <si>
    <t>'01-751-5700-5915-00</t>
  </si>
  <si>
    <t>'01-751-5700-5916-00</t>
  </si>
  <si>
    <t>'01-751-5700-5917-00</t>
  </si>
  <si>
    <t>'01-751-5700-5918-00</t>
  </si>
  <si>
    <t>'01-751-5700-5920-00</t>
  </si>
  <si>
    <t>'01-752-5700-5319-00</t>
  </si>
  <si>
    <t>'01-752-5700-5907-00</t>
  </si>
  <si>
    <t>'01-752-5700-5911-00</t>
  </si>
  <si>
    <t>Other Assessments</t>
  </si>
  <si>
    <t>'01-840-5700-5692-00</t>
  </si>
  <si>
    <t>% inc</t>
  </si>
  <si>
    <t>'01-910-5700-5170-00</t>
  </si>
  <si>
    <t>'01-910-5700-5171-00</t>
  </si>
  <si>
    <t>'01-910-5700-5172-00</t>
  </si>
  <si>
    <t>'01-910-5700-5173-00</t>
  </si>
  <si>
    <t>est mitigation (25% of plan savings)</t>
  </si>
  <si>
    <t>'01-910-5700-5174-00</t>
  </si>
  <si>
    <t>'01-910-5700-5175-00</t>
  </si>
  <si>
    <t>'01-945-5700-5740-00</t>
  </si>
  <si>
    <t>'01-945-5700-5742-00</t>
  </si>
  <si>
    <t>Fiscal Year 2015</t>
  </si>
  <si>
    <t>Reg Fee Annual School,hotel, other class</t>
  </si>
  <si>
    <t>Static IP Address for WTI Remote Access</t>
  </si>
  <si>
    <t>Stamps… to increase</t>
  </si>
  <si>
    <t>calendar, deposit slips, calc tape</t>
  </si>
  <si>
    <t>toner for printer</t>
  </si>
  <si>
    <t>cape &amp; islands meetings, travel</t>
  </si>
  <si>
    <t>MCTA&amp;Cape&amp;Islands annual mbrshp</t>
  </si>
  <si>
    <t>Prevailing wage increase</t>
  </si>
  <si>
    <t xml:space="preserve">maint shed, roof leaks </t>
  </si>
  <si>
    <t>chainsaw-4, 2-brushcutter, 2 blowers, 2 pole saw, 2 hedgetrimmer, 1 paint mach</t>
  </si>
  <si>
    <t>1-yr $22/basin used to be 16</t>
  </si>
  <si>
    <t>grading, pot hole Decca</t>
  </si>
  <si>
    <t>Center lines</t>
  </si>
  <si>
    <t>Annual Trade Show</t>
  </si>
  <si>
    <t>paper, pens</t>
  </si>
  <si>
    <t>Bar Oil, chains, files, grinder</t>
  </si>
  <si>
    <t>top soil, dirt</t>
  </si>
  <si>
    <t>stop sign=$46</t>
  </si>
  <si>
    <t>Safety vest, chainsaw chaps, sweatshirt</t>
  </si>
  <si>
    <t>Off-island, SSA, IRS reimb miles, pickup supplies</t>
  </si>
  <si>
    <t>replacement/compactor</t>
  </si>
  <si>
    <t>Mass Hwy Assn</t>
  </si>
  <si>
    <t>'01-122-5100-5195-00</t>
  </si>
  <si>
    <t>5195</t>
  </si>
  <si>
    <t>Intern</t>
  </si>
  <si>
    <t>01-122-5100-5177-00</t>
  </si>
  <si>
    <t>ADMIN ASST - Front Desk Coverage</t>
  </si>
  <si>
    <t>Town Hall Intern</t>
  </si>
  <si>
    <t>POLICE PATROLMAN #1</t>
  </si>
  <si>
    <t>POLICE PATROLMAN #3</t>
  </si>
  <si>
    <t>Inspection supplies, gloves,therm, flashlight</t>
  </si>
  <si>
    <t>Include Board in Profess Devel</t>
  </si>
  <si>
    <t>'01-192-5700-5711-00</t>
  </si>
  <si>
    <t>'01-194-5700-5341-00</t>
  </si>
  <si>
    <t>'01-199-5700-5294-00</t>
  </si>
  <si>
    <t>'01-210-5700-5710-00</t>
  </si>
  <si>
    <t>'01-220-5700-5420-00</t>
  </si>
  <si>
    <t>'29-231-8231-5305-00</t>
  </si>
  <si>
    <t>'01-299-5700-5343-00</t>
  </si>
  <si>
    <t>'01-299-5700-5344-00</t>
  </si>
  <si>
    <t>'01-299-5700-5420-00</t>
  </si>
  <si>
    <t>'01-299-5700-5210-00</t>
  </si>
  <si>
    <t>'01-299-5700-5260-00</t>
  </si>
  <si>
    <t>'01-430-5700-5341-00</t>
  </si>
  <si>
    <t>01-699-5700-5686-00</t>
  </si>
  <si>
    <t>Annual Certification Training</t>
  </si>
  <si>
    <t>expense &amp; payroll warrants</t>
  </si>
  <si>
    <t>overdrawn cks</t>
  </si>
  <si>
    <t>CCMHG, MCTA Conf</t>
  </si>
  <si>
    <t>MCTA, Cape &amp;Isd CTA</t>
  </si>
  <si>
    <t>1.45%of total wages</t>
  </si>
  <si>
    <t>less non- retirement</t>
  </si>
  <si>
    <t>misc items</t>
  </si>
  <si>
    <t>Propane for 1 Amb Barn</t>
  </si>
  <si>
    <t>OCI Maint Lic/Upgrades, maint</t>
  </si>
  <si>
    <t>upgrades/compatibility w/new amb</t>
  </si>
  <si>
    <t>NCEMSC-$75</t>
  </si>
  <si>
    <t>HIS=30/mo,ATT=75/mo,Comcast=126/mo, CMED=avg130/mo</t>
  </si>
  <si>
    <t>pychecks</t>
  </si>
  <si>
    <t>'29-231-8231-5248-00</t>
  </si>
  <si>
    <t>Drug Licensing, State Inspection</t>
  </si>
  <si>
    <t>'01-241-5700-5341-00</t>
  </si>
  <si>
    <t>Annualized</t>
  </si>
  <si>
    <t>Town Share</t>
  </si>
  <si>
    <t>Annual Rent 25 cylinders=2500</t>
  </si>
  <si>
    <t>'01-299-5700-5711-00</t>
  </si>
  <si>
    <t>'01-299-5700-5710-00</t>
  </si>
  <si>
    <t>mowing, plumbing, elec</t>
  </si>
  <si>
    <t>SSA, off-island travel</t>
  </si>
  <si>
    <t>contingency cost</t>
  </si>
  <si>
    <t>QA/QI</t>
  </si>
  <si>
    <t>PART-TIME EMPLOYEE</t>
  </si>
  <si>
    <t>Collective Contingencies Include:</t>
  </si>
  <si>
    <t>01-910-5700-5173-00</t>
  </si>
  <si>
    <t>01-000-2100-2150-00</t>
  </si>
  <si>
    <t>29-231-8231-5173-00</t>
  </si>
  <si>
    <t>Waste Collection -Inspections</t>
  </si>
  <si>
    <t>CPC</t>
  </si>
  <si>
    <t>moved from Boat/Vehicle usage</t>
  </si>
  <si>
    <t xml:space="preserve">Town Counsel Review </t>
  </si>
  <si>
    <t>Public Hearings</t>
  </si>
  <si>
    <t>Master Plan, Bylaw Reports</t>
  </si>
  <si>
    <t>Research, Prof Dev, CTPC</t>
  </si>
  <si>
    <t>SOURCES OF AVAILABLE FUNDS</t>
  </si>
  <si>
    <t>WATERWAYS FUND</t>
  </si>
  <si>
    <t>GENERAL STABILIZATION FUND</t>
  </si>
  <si>
    <t>FIRE STABILIZATION FUND</t>
  </si>
  <si>
    <t>WETLANDS PROTECTION FUND</t>
  </si>
  <si>
    <t>FY14</t>
  </si>
  <si>
    <t>1 new, 2 aging amb</t>
  </si>
  <si>
    <t>FY15</t>
  </si>
  <si>
    <t>WTI-Development Env &amp; Report Gen</t>
  </si>
  <si>
    <t>01-122-5700-5420-00</t>
  </si>
  <si>
    <t>5420</t>
  </si>
  <si>
    <t>01-122-5700-5711-00</t>
  </si>
  <si>
    <t>5711</t>
  </si>
  <si>
    <t>'01-192-5700-5249-00</t>
  </si>
  <si>
    <t>'01-192-5700-5343-00</t>
  </si>
  <si>
    <t>'01-199-5700-5296-00</t>
  </si>
  <si>
    <t>'01-220-5700-5422-00</t>
  </si>
  <si>
    <t>'01-291-5700-5303-00</t>
  </si>
  <si>
    <t>'01-610-5700-5711-00</t>
  </si>
  <si>
    <t>'29-231-8231-5745-00</t>
  </si>
  <si>
    <t>1.45% Medicare</t>
  </si>
  <si>
    <t>Budgeted as part of Health ins</t>
  </si>
  <si>
    <t>'29-231-8231-5174-00</t>
  </si>
  <si>
    <t>Total Valuation of Town</t>
  </si>
  <si>
    <t>FY06</t>
  </si>
  <si>
    <t>FY05</t>
  </si>
  <si>
    <t>FY04</t>
  </si>
  <si>
    <t>Amount of Raise &amp; Appropriate representing .01 cent on Tax Rate</t>
  </si>
  <si>
    <t>FY03</t>
  </si>
  <si>
    <t>Total Levy</t>
  </si>
  <si>
    <t>Total RE Value</t>
  </si>
  <si>
    <t>Total PP Value</t>
  </si>
  <si>
    <t>Valuation % increase/decrease</t>
  </si>
  <si>
    <t>total to be raised</t>
  </si>
  <si>
    <t>Amounts to be raised includes:</t>
  </si>
  <si>
    <t>less: total estimated receipts &amp; revenue from other sources</t>
  </si>
  <si>
    <t>Property Value &amp; Tax Rate History</t>
  </si>
  <si>
    <t>island wide communications</t>
  </si>
  <si>
    <t>pagers</t>
  </si>
  <si>
    <t>01-230-5700-5697-00</t>
  </si>
  <si>
    <t>Fiscal Year 2016</t>
  </si>
  <si>
    <t>FY2016</t>
  </si>
  <si>
    <t>Expended YTD</t>
  </si>
  <si>
    <t>01-122-5100-5192-00</t>
  </si>
  <si>
    <t>01-122-5100-5193-00</t>
  </si>
  <si>
    <t>01-122-5700-5732-00</t>
  </si>
  <si>
    <t>'01-196-5700-5600-00</t>
  </si>
  <si>
    <t>LIB</t>
  </si>
  <si>
    <t>'01-241-5700-5344-00</t>
  </si>
  <si>
    <t>01-430-5700-5850-00</t>
  </si>
  <si>
    <t>01-510-5700-5308-00</t>
  </si>
  <si>
    <t>Expended   YTD</t>
  </si>
  <si>
    <t>EX</t>
  </si>
  <si>
    <t>01-630-5*-*-*</t>
  </si>
  <si>
    <t>01-210-5*-*-*</t>
  </si>
  <si>
    <t>01-220-5*-*-*</t>
  </si>
  <si>
    <t>01-230-5*-*-*</t>
  </si>
  <si>
    <t>01-241-5*-*-*</t>
  </si>
  <si>
    <t>01-291-5*-*-*</t>
  </si>
  <si>
    <t>01-292-5*-*-*</t>
  </si>
  <si>
    <t>01-295-5*-*-*</t>
  </si>
  <si>
    <t>01-296-5*-*-*</t>
  </si>
  <si>
    <t>01-299-5*-*-*</t>
  </si>
  <si>
    <t>01-300-5*-*-*</t>
  </si>
  <si>
    <t>01-422-5*-*-*</t>
  </si>
  <si>
    <t>01-423-5*-*-*</t>
  </si>
  <si>
    <t>01-430-5*-*-*</t>
  </si>
  <si>
    <t>01-491-5*-*-*</t>
  </si>
  <si>
    <t>01-510-5*-*-*</t>
  </si>
  <si>
    <t>01-541-5*-*-*</t>
  </si>
  <si>
    <t>01-610-5*-*-*</t>
  </si>
  <si>
    <t>01-650-5*-*-*</t>
  </si>
  <si>
    <t>01-691-5*-*-*</t>
  </si>
  <si>
    <t>01-699-5*-*-*</t>
  </si>
  <si>
    <t>01-710-5*-*-*</t>
  </si>
  <si>
    <t>01-751-5*-*-*</t>
  </si>
  <si>
    <t>01-752-5*-*-*</t>
  </si>
  <si>
    <t>01-840-5*-*-*</t>
  </si>
  <si>
    <t>01-910-5*-*-*</t>
  </si>
  <si>
    <t>01-945-5*-*-*</t>
  </si>
  <si>
    <t>01-114-5*-*-*</t>
  </si>
  <si>
    <t>01-122-5*-*-*</t>
  </si>
  <si>
    <t>01-131-5*-*-*</t>
  </si>
  <si>
    <t>01-135-5*-*-*</t>
  </si>
  <si>
    <t>01-136-5*-*-*</t>
  </si>
  <si>
    <t>01-141-5*-*-*</t>
  </si>
  <si>
    <t>01-145-5*-*-*</t>
  </si>
  <si>
    <t>01-146-5*-*-*</t>
  </si>
  <si>
    <t>01-151-5*-*-*</t>
  </si>
  <si>
    <t>01-152-5*-*-*</t>
  </si>
  <si>
    <t>01-161-5*-*-*</t>
  </si>
  <si>
    <t>01-171-5*-*-*</t>
  </si>
  <si>
    <t>01-175-5*-*-*</t>
  </si>
  <si>
    <t>01-176-5*-*-*</t>
  </si>
  <si>
    <t>01-179-5*-*-*</t>
  </si>
  <si>
    <t>01-185-5*-*-*</t>
  </si>
  <si>
    <t>01-192-5*-*-*</t>
  </si>
  <si>
    <t>01-194-5*-*-*</t>
  </si>
  <si>
    <t>01-196-5*-*-*</t>
  </si>
  <si>
    <t>01-198-5*-*-*</t>
  </si>
  <si>
    <t>01-199-5*-*-*</t>
  </si>
  <si>
    <t>G6/S6</t>
  </si>
  <si>
    <t>Brett Stearns</t>
  </si>
  <si>
    <t>Tim Carroll</t>
  </si>
  <si>
    <t>Marshall Carroll</t>
  </si>
  <si>
    <t>Matthew Bradley</t>
  </si>
  <si>
    <t>G6/S4</t>
  </si>
  <si>
    <t>Andrew Downs</t>
  </si>
  <si>
    <t>Whit Hyde</t>
  </si>
  <si>
    <t>John McCarron</t>
  </si>
  <si>
    <t>TBD</t>
  </si>
  <si>
    <t>Kevin Burchill</t>
  </si>
  <si>
    <t>Donald Scranton</t>
  </si>
  <si>
    <t>G11/S8</t>
  </si>
  <si>
    <t>G4/S8</t>
  </si>
  <si>
    <t>Weekly/ Monthly</t>
  </si>
  <si>
    <t>Bi-weekly Payroll</t>
  </si>
  <si>
    <t>ADMIN ASST - HRB</t>
  </si>
  <si>
    <t>ADMIN ASST-PLANNING BOARD</t>
  </si>
  <si>
    <t>CAS - CONSERVATION</t>
  </si>
  <si>
    <t>CAS - ZONING &amp; SITE REVIEW</t>
  </si>
  <si>
    <t>CAS - COMMUNITY PRESERVATION</t>
  </si>
  <si>
    <t>ADMIN ASST - HOUSING COMMITTEE</t>
  </si>
  <si>
    <t>ADMIN ASST - HISTORICAL COMMITTEE</t>
  </si>
  <si>
    <t>STAFF</t>
  </si>
  <si>
    <t>'01-146-5700-5319-00</t>
  </si>
  <si>
    <t>PT</t>
  </si>
  <si>
    <t>G6/S5</t>
  </si>
  <si>
    <t>ALLEN HEALEY</t>
  </si>
  <si>
    <t>'01-179-5100-5142-00</t>
  </si>
  <si>
    <t>propane heater</t>
  </si>
  <si>
    <t>ADMINISTRATOR/INSPECTOR-BoH</t>
  </si>
  <si>
    <t>01-691-5100-5142-00</t>
  </si>
  <si>
    <t>'29-231-8231-5198-00</t>
  </si>
  <si>
    <t>'01-171-5100-5142-00</t>
  </si>
  <si>
    <t>'01-176-5100-5142-00</t>
  </si>
  <si>
    <t>G5/S8 - 13 hrs;+20hrs coverage for Rodney vaca</t>
  </si>
  <si>
    <t>$175/mo for 6 mo+cleaning</t>
  </si>
  <si>
    <t>contingency services</t>
  </si>
  <si>
    <t>'01-710-5700-5924-00</t>
  </si>
  <si>
    <t>'01-751-5700-5924-00</t>
  </si>
  <si>
    <t>'01-710-5700-5923-00</t>
  </si>
  <si>
    <t>'01-710-5700-5922-00</t>
  </si>
  <si>
    <t>'01-751-5700-5922-00</t>
  </si>
  <si>
    <t>DCRHA Assmt - 50/50formula</t>
  </si>
  <si>
    <t>'01-198-5700-5212-00</t>
  </si>
  <si>
    <t>Regional PV</t>
  </si>
  <si>
    <t>Landfill PV-Vineyard Power</t>
  </si>
  <si>
    <t>upkeep of equip</t>
  </si>
  <si>
    <t>Food/Disaster supplies as needed</t>
  </si>
  <si>
    <t>Shelter/EOC manning as needed</t>
  </si>
  <si>
    <t>MVEMDA</t>
  </si>
  <si>
    <t>Barn Book/Quarantines</t>
  </si>
  <si>
    <t>TL OT</t>
  </si>
  <si>
    <t>**</t>
  </si>
  <si>
    <t>Mowing/grazing/cleanup/repair</t>
  </si>
  <si>
    <t>'29-231-8231-5130-00</t>
  </si>
  <si>
    <t>created account 2/6/15</t>
  </si>
  <si>
    <t>Provided by MVRefuse</t>
  </si>
  <si>
    <t>MA Cemetery Association</t>
  </si>
  <si>
    <t>Tri Town</t>
  </si>
  <si>
    <t>EMPLOYEES &amp; BOARD</t>
  </si>
  <si>
    <t>RETIREES</t>
  </si>
  <si>
    <t>MEDEX RETIREES &amp; SPOUSES</t>
  </si>
  <si>
    <t>Surety bond - req'd by Statute</t>
  </si>
  <si>
    <t>security details/Presidential visit</t>
  </si>
  <si>
    <t>Animal Control Officer</t>
  </si>
  <si>
    <t>Less: TTA</t>
  </si>
  <si>
    <t>CTH Salaries:</t>
  </si>
  <si>
    <t>Beach Dept - 15K</t>
  </si>
  <si>
    <t>TTA STABILIZATION FUND</t>
  </si>
  <si>
    <t>MassDOT CHAPTER 90 FUNDS</t>
  </si>
  <si>
    <t>LIBRARY GIFTS</t>
  </si>
  <si>
    <t>LIBRARY FURNISHING GIFTS</t>
  </si>
  <si>
    <t>FIRE DEPARTMENT GIFTS</t>
  </si>
  <si>
    <t>TRICENTENNIAL GIFTS</t>
  </si>
  <si>
    <t>AFFORDABLE HOUSING GIFTS</t>
  </si>
  <si>
    <t>Animal Ctrl Officer -Medical Services</t>
  </si>
  <si>
    <t>Animal Ctrl Officer -Boarding Costs</t>
  </si>
  <si>
    <t>Waste Collection-Engineering Services</t>
  </si>
  <si>
    <t>Social Services</t>
  </si>
  <si>
    <t>checks$200</t>
  </si>
  <si>
    <t>'01-194-5700-5293-00</t>
  </si>
  <si>
    <t>G10/S6</t>
  </si>
  <si>
    <t>G6/S7</t>
  </si>
  <si>
    <t>FY2017</t>
  </si>
  <si>
    <t>Fiscal Year 2017</t>
  </si>
  <si>
    <t>KARYN PIETRUSKA-ROBERTSON</t>
  </si>
  <si>
    <t>01-291-5700-5710-00</t>
  </si>
  <si>
    <t>JESSICA HOLTHAM</t>
  </si>
  <si>
    <t>YR Paramedic #1</t>
  </si>
  <si>
    <t>YR Paramedic #2</t>
  </si>
  <si>
    <t>AMBULANCE CHIEF</t>
  </si>
  <si>
    <t>AMBULANCE ASST CHIEF</t>
  </si>
  <si>
    <t>YR Paramedic #3</t>
  </si>
  <si>
    <t>JASON BLANDINI</t>
  </si>
  <si>
    <t>ALLISON GRACZYKOWSKI</t>
  </si>
  <si>
    <t>CLERICAL</t>
  </si>
  <si>
    <t>CHILMARK</t>
  </si>
  <si>
    <t>AQUINNAH</t>
  </si>
  <si>
    <t>WEST TISBURY</t>
  </si>
  <si>
    <t>20 WKS</t>
  </si>
  <si>
    <t>HRS/WK</t>
  </si>
  <si>
    <t>Nightshift EMT</t>
  </si>
  <si>
    <t>Stipend</t>
  </si>
  <si>
    <t>130/NIGHT</t>
  </si>
  <si>
    <t>Seasonal DAY EMT-10 hr day shift 20WKS</t>
  </si>
  <si>
    <t>Per Diem Paramedic-2nd Medic</t>
  </si>
  <si>
    <t>Nightshift Parmedic-coverage for FT</t>
  </si>
  <si>
    <t>Special Events</t>
  </si>
  <si>
    <t>Holiday Coverage</t>
  </si>
  <si>
    <t>Overtime</t>
  </si>
  <si>
    <t>26.1wks</t>
  </si>
  <si>
    <t>1099's, Filings</t>
  </si>
  <si>
    <t>Health Ins</t>
  </si>
  <si>
    <t>infusion pumps</t>
  </si>
  <si>
    <t>110/SHIFT</t>
  </si>
  <si>
    <t>OFFSeason</t>
  </si>
  <si>
    <t>225DAYS</t>
  </si>
  <si>
    <t xml:space="preserve">2-Off Season DAY EMT </t>
  </si>
  <si>
    <t>2 EMTs- 7days/225days@110/shift</t>
  </si>
  <si>
    <t>11 Holidays@time+1/2</t>
  </si>
  <si>
    <t>'29-231-8231-5169-00</t>
  </si>
  <si>
    <t>G9/S4 - 40 hrs</t>
  </si>
  <si>
    <t>POLICE PATROLMAN/DETECTIVE #2</t>
  </si>
  <si>
    <t>1% Longevity</t>
  </si>
  <si>
    <t>Longevity 1%</t>
  </si>
  <si>
    <t>CPC Coalition Annual Mmbr 875</t>
  </si>
  <si>
    <t>Blandini, J.</t>
  </si>
  <si>
    <t>BURTON, J.</t>
  </si>
  <si>
    <t xml:space="preserve">Annual </t>
  </si>
  <si>
    <t>Dept Total</t>
  </si>
  <si>
    <t>FY17</t>
  </si>
  <si>
    <t>Projection</t>
  </si>
  <si>
    <t>'29-231-8231-5301-00</t>
  </si>
  <si>
    <t>moved to milieage allowance</t>
  </si>
  <si>
    <t>toner, envelopes, deposit slip</t>
  </si>
  <si>
    <t>G11/S8 38-hrs</t>
  </si>
  <si>
    <t>tax bills, envelopes</t>
  </si>
  <si>
    <t>'01-430-5700-5298-00</t>
  </si>
  <si>
    <t>Recording fees at Registry $75/each</t>
  </si>
  <si>
    <t>increase in MACC Dues</t>
  </si>
  <si>
    <t>CPTC courses for Board Members</t>
  </si>
  <si>
    <t>'01-210-5700-5251-00</t>
  </si>
  <si>
    <t>G6/S8 500hrs</t>
  </si>
  <si>
    <t>UniBank Fiscal Adv.Fee</t>
  </si>
  <si>
    <t>Update tax maps annually</t>
  </si>
  <si>
    <t>Monthly</t>
  </si>
  <si>
    <t>Premium</t>
  </si>
  <si>
    <t>Share/mo</t>
  </si>
  <si>
    <t>Increase in price</t>
  </si>
  <si>
    <t>Health Ins-Employees</t>
  </si>
  <si>
    <t>Health Ins-Elected Officials</t>
  </si>
  <si>
    <t>Assistant</t>
  </si>
  <si>
    <t>% of NET Salaries</t>
  </si>
  <si>
    <t>'01-198-5700-5213-00</t>
  </si>
  <si>
    <t>Departmental Employee Benefits</t>
  </si>
  <si>
    <t>SSA, mileage</t>
  </si>
  <si>
    <t>EverSource</t>
  </si>
  <si>
    <t>Total EverSource/CVEC/VPS</t>
  </si>
  <si>
    <t>FY16</t>
  </si>
  <si>
    <t>FY02</t>
  </si>
  <si>
    <t>L. Jason - on BoA</t>
  </si>
  <si>
    <t>4% - Building Inspector</t>
  </si>
  <si>
    <t>CTH</t>
  </si>
  <si>
    <t>CCC</t>
  </si>
  <si>
    <t>PD</t>
  </si>
  <si>
    <t>FD</t>
  </si>
  <si>
    <t>LVB</t>
  </si>
  <si>
    <t>HARBOR</t>
  </si>
  <si>
    <t>ComfStation</t>
  </si>
  <si>
    <t>Waste</t>
  </si>
  <si>
    <t>Hwy</t>
  </si>
  <si>
    <t>'01-179-5700-5305-00</t>
  </si>
  <si>
    <t>'01-945-5700-5746-00</t>
  </si>
  <si>
    <t>'01-945-5700-5747-00</t>
  </si>
  <si>
    <t>TTA GIFT FUND</t>
  </si>
  <si>
    <t>PD STABILIZATION FUND</t>
  </si>
  <si>
    <t>HIGHWAY STABILIZATION FUND</t>
  </si>
  <si>
    <t>Special Warrant Articles:</t>
  </si>
  <si>
    <t>22, Report fromT.C.,change to LEDFY16</t>
  </si>
  <si>
    <t>Lightweight T-shirts</t>
  </si>
  <si>
    <t>C N A Harbor</t>
  </si>
  <si>
    <t>Beach &amp;PWS</t>
  </si>
  <si>
    <t>*school budget was recertified 5/18/15</t>
  </si>
  <si>
    <t>ATM vote.</t>
  </si>
  <si>
    <t>CHLMK Assmt $2,382,644.34 AFTER Chilmark</t>
  </si>
  <si>
    <t>Maint Supervisor of Town Bldgs</t>
  </si>
  <si>
    <t>'01-196-5700-5302-00</t>
  </si>
  <si>
    <t>'01-194-5700-5306-00</t>
  </si>
  <si>
    <t>'01-199-5700-5430-00</t>
  </si>
  <si>
    <t>ADMIN ASST - TOWN ACCOUNTANT</t>
  </si>
  <si>
    <t>TEMP</t>
  </si>
  <si>
    <t>TEMP EMPLYEE</t>
  </si>
  <si>
    <t>TL ON CALL</t>
  </si>
  <si>
    <t>TL SUMMER SPECIAL</t>
  </si>
  <si>
    <t>TL TRAFFIC</t>
  </si>
  <si>
    <t>COLL BARGAIN</t>
  </si>
  <si>
    <t>HOLIDAY</t>
  </si>
  <si>
    <t>SECURITY</t>
  </si>
  <si>
    <t>Mechanic</t>
  </si>
  <si>
    <t>MIIA-Full WCPol=29K/Allocate w/TTA</t>
  </si>
  <si>
    <t>'01-131-5700-5306-00</t>
  </si>
  <si>
    <t>'01-185-5700-5589-00</t>
  </si>
  <si>
    <t>RESERVE FOR ACCRUED LIAB</t>
  </si>
  <si>
    <t>JESSE BURTON</t>
  </si>
  <si>
    <t>WILLIAM FIELDER</t>
  </si>
  <si>
    <t>G9/S3</t>
  </si>
  <si>
    <t>WILLIAM REICH</t>
  </si>
  <si>
    <t>CARLTON CROCKER</t>
  </si>
  <si>
    <t>16 Wks</t>
  </si>
  <si>
    <t>G4/S5</t>
  </si>
  <si>
    <t>EAMON SOLWAY</t>
  </si>
  <si>
    <t>'29-231-8231-5490-00</t>
  </si>
  <si>
    <t>3-10hr shifts 7days/20wks pd hourly,rates vary</t>
  </si>
  <si>
    <t>5 shifts/2wks, 10hr shift-Year Round</t>
  </si>
  <si>
    <t>G8/S3 -  $28.15/hr - 545hrs/year</t>
  </si>
  <si>
    <t>Fiscal Year 2018</t>
  </si>
  <si>
    <r>
      <rPr>
        <b/>
        <sz val="9"/>
        <color theme="1"/>
        <rFont val="Century Gothic"/>
        <family val="2"/>
      </rPr>
      <t>NO Pres.Detail</t>
    </r>
    <r>
      <rPr>
        <sz val="9"/>
        <color theme="1"/>
        <rFont val="Century Gothic"/>
        <family val="2"/>
      </rPr>
      <t>,CHLMK Rd.Race,AQ RR, 3days Storm</t>
    </r>
  </si>
  <si>
    <t>OCI Maint Lic/When2work,Advan Imaging,AmbuPro</t>
  </si>
  <si>
    <t>Eliminate MedSvc - move to Office Supplies</t>
  </si>
  <si>
    <t>move exp to Food&amp;Food Svc</t>
  </si>
  <si>
    <t>'29-231-8231-5242-00</t>
  </si>
  <si>
    <t>NEW</t>
  </si>
  <si>
    <r>
      <t>Departmental Employee Benefits-</t>
    </r>
    <r>
      <rPr>
        <b/>
        <i/>
        <sz val="10"/>
        <color theme="1"/>
        <rFont val="Century Gothic"/>
        <family val="2"/>
      </rPr>
      <t>est</t>
    </r>
  </si>
  <si>
    <t>01-135-5100-5108-00</t>
  </si>
  <si>
    <t>FT Vaca coverage</t>
  </si>
  <si>
    <t>TRACI COONEY</t>
  </si>
  <si>
    <t>ASSISTANT DIRECTOR/YOUTH SVC</t>
  </si>
  <si>
    <t>RIZWAN MALIK</t>
  </si>
  <si>
    <t>ASSISTANT LIBRARIAN</t>
  </si>
  <si>
    <t>G4/XX</t>
  </si>
  <si>
    <t>'01-291-5700-5341-00</t>
  </si>
  <si>
    <t>Rd edges, rd.side posts</t>
  </si>
  <si>
    <t>PD=54.00/hr; 8hr=432 x 5days</t>
  </si>
  <si>
    <t>FY18</t>
  </si>
  <si>
    <t>State mandated materials expenditure</t>
  </si>
  <si>
    <t>'01-161-5700-5592-00</t>
  </si>
  <si>
    <t>'01-295-5700-5240-00</t>
  </si>
  <si>
    <t>'01-491-5100-5108-00</t>
  </si>
  <si>
    <t>Cemetery Commission</t>
  </si>
  <si>
    <t>Public Nursing, Flu Clinic, Ticks&amp;Youth</t>
  </si>
  <si>
    <t>MHOA-60,MWWA-75,NEHA-95</t>
  </si>
  <si>
    <t xml:space="preserve">TBD </t>
  </si>
  <si>
    <t>Electric USAGE ONLY</t>
  </si>
  <si>
    <t>Researching alt scenarios</t>
  </si>
  <si>
    <t>achoring in Pond</t>
  </si>
  <si>
    <t>CHS charges now go to cardholder</t>
  </si>
  <si>
    <t># pilings/yr</t>
  </si>
  <si>
    <t>Elec,Plumbg,General Maint</t>
  </si>
  <si>
    <t>Appraisal, billing</t>
  </si>
  <si>
    <t>Cemetery Admin</t>
  </si>
  <si>
    <t>'01-910-5700-5199-00</t>
  </si>
  <si>
    <t>Totals</t>
  </si>
  <si>
    <t>1% COLA Article</t>
  </si>
  <si>
    <t>STM 12-16#2 LIB Salary Shortfall</t>
  </si>
  <si>
    <t>PY-192</t>
  </si>
  <si>
    <t>cont'd app-196</t>
  </si>
  <si>
    <t>County Tax-830</t>
  </si>
  <si>
    <t>VHCAP-830</t>
  </si>
  <si>
    <t>State Aid-820</t>
  </si>
  <si>
    <t>TC</t>
  </si>
  <si>
    <t xml:space="preserve">TC-Beach Stickers </t>
  </si>
  <si>
    <t>TC-MVI Beach Liability</t>
  </si>
  <si>
    <t>Zobrio CashMgmt Sftware</t>
  </si>
  <si>
    <t>Medicare1.45%</t>
  </si>
  <si>
    <t>Full Time Vaca Coverage</t>
  </si>
  <si>
    <t>new</t>
  </si>
  <si>
    <t>CHIEF</t>
  </si>
  <si>
    <t>MALIK, R</t>
  </si>
  <si>
    <t>Cooney, T.</t>
  </si>
  <si>
    <t>Graczykowski, A.</t>
  </si>
  <si>
    <t>FIELDER W.</t>
  </si>
  <si>
    <t>REICH W.</t>
  </si>
  <si>
    <t>Conservation Agent</t>
  </si>
  <si>
    <t>CEMETERY ADMIN</t>
  </si>
  <si>
    <t>LONG</t>
  </si>
  <si>
    <t>REVAL YR</t>
  </si>
  <si>
    <t>01-830-9267-5700-*</t>
  </si>
  <si>
    <t>01-830-9562-5700-*</t>
  </si>
  <si>
    <t>01-830-9561-5700-*</t>
  </si>
  <si>
    <t>01-830-9588-5700-*</t>
  </si>
  <si>
    <t>MIIA PC Insurance-2 1/2 %</t>
  </si>
  <si>
    <t>Chubb PD,FD 111F-2 1/2%</t>
  </si>
  <si>
    <t>Water USAGE ONLY</t>
  </si>
  <si>
    <t>Less CPC covered by Fund 25:</t>
  </si>
  <si>
    <t>ATM Voted Budget</t>
  </si>
  <si>
    <t>Fundware Balance 01/30/17:</t>
  </si>
  <si>
    <t>'01-198-5700-5534-00</t>
  </si>
  <si>
    <t>'01-422-5700-5534-00</t>
  </si>
  <si>
    <t>MA ESTUARIES GIFTS</t>
  </si>
  <si>
    <t>COAST GUARD GIFTS</t>
  </si>
  <si>
    <t>PROTECT SQB POND</t>
  </si>
  <si>
    <t>UNTIL NEW RATES ARE AVAILABLE</t>
  </si>
  <si>
    <t>MALONEY, J</t>
  </si>
  <si>
    <t>'01-422-5700-5481-00</t>
  </si>
  <si>
    <t>300/mo New Truck Gasoline</t>
  </si>
  <si>
    <t>'01-422-5700-5243-00</t>
  </si>
  <si>
    <t>Inspection/Oil Change/other</t>
  </si>
  <si>
    <t>'01-295-5700-5710-00</t>
  </si>
  <si>
    <t>'01-295-5700-5711-00</t>
  </si>
  <si>
    <t>Elected Officials</t>
  </si>
  <si>
    <t>BOS 3@1500/yr</t>
  </si>
  <si>
    <t>BoS 3@500/yr</t>
  </si>
  <si>
    <t>CONSERVATION AGENT</t>
  </si>
  <si>
    <t>DEPT</t>
  </si>
  <si>
    <t>G4/S4</t>
  </si>
  <si>
    <t>G11/S6</t>
  </si>
  <si>
    <t>IND</t>
  </si>
  <si>
    <t>G11/S5</t>
  </si>
  <si>
    <t>ELIZABETH ROGERS</t>
  </si>
  <si>
    <t>G9/S4</t>
  </si>
  <si>
    <t>G5/S5</t>
  </si>
  <si>
    <t>G5/S2</t>
  </si>
  <si>
    <t>BLDG. INSPECTOR - EQUV G10/S8</t>
  </si>
  <si>
    <t>G3/S3</t>
  </si>
  <si>
    <t>SUSAN MURPHY</t>
  </si>
  <si>
    <t>BEN RETMIER</t>
  </si>
  <si>
    <t>LONGEVITY</t>
  </si>
  <si>
    <t>FOREST WARDEN</t>
  </si>
  <si>
    <t>FIRE OFFICERS</t>
  </si>
  <si>
    <t>FIREFIGHTERS</t>
  </si>
  <si>
    <t>FIRE/OIL BURNER INPSECTIONS</t>
  </si>
  <si>
    <t>FY2019 Proposed Budget</t>
  </si>
  <si>
    <t>FY2018</t>
  </si>
  <si>
    <t>FY2013</t>
  </si>
  <si>
    <t>FY2012</t>
  </si>
  <si>
    <t>FY2011</t>
  </si>
  <si>
    <t>G7/S8</t>
  </si>
  <si>
    <t>G9/S2</t>
  </si>
  <si>
    <t>Revised Budget</t>
  </si>
  <si>
    <t>Expended 12/31/17</t>
  </si>
  <si>
    <t>G11/S5 - 40 hrs</t>
  </si>
  <si>
    <t>G9/S3 - 40 hrs</t>
  </si>
  <si>
    <t>Est 617hrs @ 55.45/hr</t>
  </si>
  <si>
    <t>3 Special, $27/hr/14wks/40hr</t>
  </si>
  <si>
    <t>640hrs @ $27/hr for winter months</t>
  </si>
  <si>
    <t>3 Traffic Officers $22/hr/14wks/40hrs</t>
  </si>
  <si>
    <t>12 1/2 holidays for FT Officers</t>
  </si>
  <si>
    <t>MCU, TRT &amp; Dues</t>
  </si>
  <si>
    <t>01-210-5700-5250-00</t>
  </si>
  <si>
    <t>5250</t>
  </si>
  <si>
    <t>mo lease pymt copy/computer</t>
  </si>
  <si>
    <t>QED, RDASoft</t>
  </si>
  <si>
    <t>'01-630-5100-5120-00</t>
  </si>
  <si>
    <t>'01-630-5100-5108-00</t>
  </si>
  <si>
    <t>G9/S2-35hrs</t>
  </si>
  <si>
    <t>G7/S8 - 35 hrs</t>
  </si>
  <si>
    <t>8hrs/wk  G6/S5</t>
  </si>
  <si>
    <t>G5/Sx -E.Bunch,B.Bassett</t>
  </si>
  <si>
    <t>Electronic Materials</t>
  </si>
  <si>
    <t>'01-171-5700-5850-00</t>
  </si>
  <si>
    <t>G11/S8 - 15hrs/wk</t>
  </si>
  <si>
    <t>'01-175-5700-5317-00</t>
  </si>
  <si>
    <t>'01-175-5700-5319-00</t>
  </si>
  <si>
    <t>G11/S8 - 17 hrs</t>
  </si>
  <si>
    <t>G11/S8 - 5 hrs</t>
  </si>
  <si>
    <t>G9/S7</t>
  </si>
  <si>
    <t>'01-199-5700-5870-00</t>
  </si>
  <si>
    <t>'01-220-5100-5166-00</t>
  </si>
  <si>
    <t>G6/S8-27.11 7hrs/wk</t>
  </si>
  <si>
    <t>Ambulance - Vacation Coverage</t>
  </si>
  <si>
    <t>FY19</t>
  </si>
  <si>
    <t>ROGERS, E.</t>
  </si>
  <si>
    <t>$80/hr plowing</t>
  </si>
  <si>
    <t>G8/S8 - 35 hrs;</t>
  </si>
  <si>
    <t>G11/S8 - 0.5 hrs/wk</t>
  </si>
  <si>
    <t>Fiscal Year 2019</t>
  </si>
  <si>
    <t>'01-146-5100-5142-00</t>
  </si>
  <si>
    <t>'01-510-5100-5142-00</t>
  </si>
  <si>
    <t>Library Director 1% &amp; Asst Lib 1%</t>
  </si>
  <si>
    <t>Circ Asst/Programming-YR</t>
  </si>
  <si>
    <t>CIRCULATION ASSISTANT</t>
  </si>
  <si>
    <t>E.Bunch, B.Bassett</t>
  </si>
  <si>
    <t>CIRC ASST/PROGRAMMING-YR</t>
  </si>
  <si>
    <t>'01-910-5700-5201-00</t>
  </si>
  <si>
    <t>The three health insurance lines are estimated at a 15% increase, I will have the final numbers after the CCMHG has it's rate setting meeting on the 1/24/18.</t>
  </si>
  <si>
    <t xml:space="preserve">unemployment contribution rate from the DUA, for 2018 it will be 0.03% </t>
  </si>
  <si>
    <t xml:space="preserve">I added a line att he botttom forthe  monthly $11 HSA managment fee - 5201 is the code that you gave me.  </t>
  </si>
  <si>
    <t>AUTOMARK</t>
  </si>
  <si>
    <t>Class fees pd by Edg</t>
  </si>
  <si>
    <t>Hotel accomodations</t>
  </si>
  <si>
    <t>mileage</t>
  </si>
  <si>
    <t>'01-299-5100-5142-00</t>
  </si>
  <si>
    <t>G9/S7 - 40 hrs</t>
  </si>
  <si>
    <t>Pumpout by 6/2019</t>
  </si>
  <si>
    <t>painting proj/mowing</t>
  </si>
  <si>
    <t>'01-220-5700-5450-00</t>
  </si>
  <si>
    <t>RB maint projects</t>
  </si>
  <si>
    <t>RB recommends supplies</t>
  </si>
  <si>
    <t>RB recmmd increase</t>
  </si>
  <si>
    <t>Contract</t>
  </si>
  <si>
    <t>cell/cable/telephones</t>
  </si>
  <si>
    <t>tc</t>
  </si>
  <si>
    <t>ERSI billed by Cnty;WebGIS</t>
  </si>
  <si>
    <t xml:space="preserve">Telephone 10 mo/audio </t>
  </si>
  <si>
    <t>3 pump outs</t>
  </si>
  <si>
    <t>CodeRed</t>
  </si>
  <si>
    <t>Start Date 6/15</t>
  </si>
  <si>
    <t>9wks</t>
  </si>
  <si>
    <t>MOVE TO DEPT 198 in FY18</t>
  </si>
  <si>
    <t>Spring/Fall raking/cleanup pd not volunteer</t>
  </si>
  <si>
    <t>SUD Prevention</t>
  </si>
  <si>
    <t>DC Social Services</t>
  </si>
  <si>
    <t>CORE Prgrm of CoA</t>
  </si>
  <si>
    <t>Non-pension Employees</t>
  </si>
  <si>
    <t>Non pension eligible compensation</t>
  </si>
  <si>
    <t>Non Retirement</t>
  </si>
  <si>
    <t>Non Retirement + Longevity</t>
  </si>
  <si>
    <t>Non-retirement</t>
  </si>
  <si>
    <t>'01-161-5700-5870-00</t>
  </si>
  <si>
    <t>Ben provided $112,800 Tl less:Allocated portion</t>
  </si>
  <si>
    <t>YR Paramedic #4</t>
  </si>
  <si>
    <t>1% COLA on anniver MAR</t>
  </si>
  <si>
    <t>NEW ACCOUNT -COPY/COMP LEASE</t>
  </si>
  <si>
    <t>'01-291-5100-5142-00</t>
  </si>
  <si>
    <t>Longevity</t>
  </si>
  <si>
    <t>Emergency Mgmt - Admin</t>
  </si>
  <si>
    <t>Temp Employee</t>
  </si>
  <si>
    <t>Cemetery</t>
  </si>
  <si>
    <t>BoH 3@500/yr</t>
  </si>
  <si>
    <t>Sal</t>
  </si>
  <si>
    <t>Long</t>
  </si>
  <si>
    <t>TL:</t>
  </si>
  <si>
    <t>Less TTA:</t>
  </si>
  <si>
    <t>CTH:</t>
  </si>
  <si>
    <t>HWY</t>
  </si>
  <si>
    <t>1.45% of Total Wages</t>
  </si>
  <si>
    <t>INPUT *1.15 FOR PROJECTION</t>
  </si>
  <si>
    <t>Active Emp</t>
  </si>
  <si>
    <t>Elected off</t>
  </si>
  <si>
    <t>Recomm incr of 23% by MIIA</t>
  </si>
  <si>
    <t>'01-650-5700-5306-00</t>
  </si>
  <si>
    <t>1/2 w/shellfish</t>
  </si>
  <si>
    <t>Harpers Payroll Service</t>
  </si>
  <si>
    <t>SUI .3%</t>
  </si>
  <si>
    <t>$100/night</t>
  </si>
  <si>
    <t>MVLEC</t>
  </si>
  <si>
    <t>2@ $130/shift 7nights/wk 365</t>
  </si>
  <si>
    <t>'01-176-5700-5420-00</t>
  </si>
  <si>
    <t>folders</t>
  </si>
  <si>
    <t>Office Supplies</t>
  </si>
  <si>
    <t>'01-179-5700-5344-00</t>
  </si>
  <si>
    <t>'01-192-5700-5303-00</t>
  </si>
  <si>
    <t xml:space="preserve">Professional Development </t>
  </si>
  <si>
    <t>'01-192-5700-5710-00</t>
  </si>
  <si>
    <t>In State Travel</t>
  </si>
  <si>
    <t>'01-194-5700-5242-00</t>
  </si>
  <si>
    <t>Facilities Maintenance</t>
  </si>
  <si>
    <t>'01-292-5700-5870-00</t>
  </si>
  <si>
    <t>'01-295-5700-5241-00</t>
  </si>
  <si>
    <t>Bldg/Grounds Maintenance</t>
  </si>
  <si>
    <t>'01-295-5700-5450-00</t>
  </si>
  <si>
    <t>01-422-5700-5482-00</t>
  </si>
  <si>
    <t>Vehicle Supplies</t>
  </si>
  <si>
    <t>'01-423-5700-5303-00</t>
  </si>
  <si>
    <t>Professional Development</t>
  </si>
  <si>
    <t>'01-430-5700-5293-00</t>
  </si>
  <si>
    <t>Rubbish Disposal</t>
  </si>
  <si>
    <t>'01-510-5700-5298-00</t>
  </si>
  <si>
    <t>Waste Transportation</t>
  </si>
  <si>
    <t>reported in Dept 198</t>
  </si>
  <si>
    <t>'01-630-5700-5249-00</t>
  </si>
  <si>
    <t>Computer Training</t>
  </si>
  <si>
    <t>'01-830-5700-5621-00</t>
  </si>
  <si>
    <t>Cherry Sheet</t>
  </si>
  <si>
    <t>'01-820-5700-5640-00</t>
  </si>
  <si>
    <t>'01-820-5700-5646-00</t>
  </si>
  <si>
    <t>'01-820-5700-5663-00</t>
  </si>
  <si>
    <t>Total State &amp; County Cherry Sheet Charges</t>
  </si>
  <si>
    <t>Animal Control Officer (ACO)</t>
  </si>
  <si>
    <t>Allocation per Dept</t>
  </si>
  <si>
    <t>G8/S3</t>
  </si>
  <si>
    <t>Local Drop-Off Operation</t>
  </si>
  <si>
    <t>MVRD Monitoring Gas-Q; Water-Semi Annl</t>
  </si>
  <si>
    <t>55 TaborHouse Rd Shed/Eversource</t>
  </si>
  <si>
    <t>Verizon Landline allocation</t>
  </si>
  <si>
    <t>BEACH GIFTS</t>
  </si>
  <si>
    <t>5 Year</t>
  </si>
  <si>
    <t>Fiscal Year 2014</t>
  </si>
  <si>
    <t>HA MV (Healthy Aging)</t>
  </si>
  <si>
    <t>steamer seed;all other from MVSG</t>
  </si>
  <si>
    <t>outboard 115hp motor/cap plan</t>
  </si>
  <si>
    <t>HSA Management Fees</t>
  </si>
  <si>
    <t>Health Savings Account</t>
  </si>
  <si>
    <t>Health Saving Acct Mgmt Fee</t>
  </si>
  <si>
    <t>LDO-Operation/Labor MVRefuse</t>
  </si>
  <si>
    <t>MVRefuse $2/ton inc; 115ton/2017; Rolloff-weighed at EDG</t>
  </si>
  <si>
    <t>add $25,272 for new LIB position</t>
  </si>
  <si>
    <t>'29-231-8231-5112-00</t>
  </si>
  <si>
    <t>'29-231-8231-5172-00</t>
  </si>
  <si>
    <t>Ambulance - Health Insurance</t>
  </si>
  <si>
    <t>Ambulance-Group Life Insurance</t>
  </si>
  <si>
    <t>Ambulance-Heating Fuels</t>
  </si>
  <si>
    <t>Ambulance- Vehicle Maintenance</t>
  </si>
  <si>
    <t>Ambulance- Medical Equip Maint</t>
  </si>
  <si>
    <t>Ambulance- Computer Equip Main</t>
  </si>
  <si>
    <t>Ambulance-Software Licensing</t>
  </si>
  <si>
    <t>Ambulance- Radio Repair/Maint</t>
  </si>
  <si>
    <t>Ambulance- Oxygen</t>
  </si>
  <si>
    <t>Ambulance- Rubbish Disposal</t>
  </si>
  <si>
    <t>Ambulance- Medical Services</t>
  </si>
  <si>
    <t>Ambulance- Professional Dev</t>
  </si>
  <si>
    <t>Ambulance- Legal Council</t>
  </si>
  <si>
    <t>Ambulance- Advertising</t>
  </si>
  <si>
    <t>Ambulance- Telecommunications</t>
  </si>
  <si>
    <t>Ambulance- Postage</t>
  </si>
  <si>
    <t>Ambulance- Freight</t>
  </si>
  <si>
    <t>Ambulance- Other Purchased Ser</t>
  </si>
  <si>
    <t>Ambulance-License</t>
  </si>
  <si>
    <t>Ambulance- Office Supplies</t>
  </si>
  <si>
    <t>Ambulance- Gasoline</t>
  </si>
  <si>
    <t>Ambulance- Vehicle Supplies</t>
  </si>
  <si>
    <t>Ambulance-Food&amp;Food Svc Suppli</t>
  </si>
  <si>
    <t>Ambulance- Medical Supplies</t>
  </si>
  <si>
    <t>Ambulance- Uniforms</t>
  </si>
  <si>
    <t>Ambulance- Other Supplies</t>
  </si>
  <si>
    <t>Ambulance- Bottled Water</t>
  </si>
  <si>
    <t>Ambulance- In-State Travel</t>
  </si>
  <si>
    <t>Ambulance- Mileage Allowance</t>
  </si>
  <si>
    <t>Ambulance- Dues and Membership</t>
  </si>
  <si>
    <t>Ambulance- Insurance Premiums</t>
  </si>
  <si>
    <t>Ambulance- Incident Deductable</t>
  </si>
  <si>
    <t>Ambulance- Medicare</t>
  </si>
  <si>
    <t>Ambulance-Workers Comp Ins</t>
  </si>
  <si>
    <t>Ambulance-Additional Equipment</t>
  </si>
  <si>
    <t>Ambulance- Replacement Equip</t>
  </si>
  <si>
    <t>Ambulance - Lab Testing</t>
  </si>
  <si>
    <t>Ambulance- Defib/12 Lead Maint</t>
  </si>
  <si>
    <t>Amblance - ALS Supply</t>
  </si>
  <si>
    <t>Amblance - Comstar Service Cha</t>
  </si>
  <si>
    <t>Ambulance - Chief</t>
  </si>
  <si>
    <t>Ambulance- Assistant  Chief</t>
  </si>
  <si>
    <t>Ambulance - YR Paramedic 1</t>
  </si>
  <si>
    <t>Ambulance - YR Paramedic 2</t>
  </si>
  <si>
    <t>Ambulance-YR Paramedic 3</t>
  </si>
  <si>
    <t>Ambulance- Clerical</t>
  </si>
  <si>
    <t>Ambulance - Nightshift EMT</t>
  </si>
  <si>
    <t>Ambulance- Seasonal EMT</t>
  </si>
  <si>
    <t>Ambulance- Off Season EMT</t>
  </si>
  <si>
    <t>Ambulance - Per-Diem Medic</t>
  </si>
  <si>
    <t>Ambulance - Nightshift Medic</t>
  </si>
  <si>
    <t>Ambulance- Special Events</t>
  </si>
  <si>
    <t>Ambulance- EMT Incentive</t>
  </si>
  <si>
    <t>Ambulance - Holiday Pay</t>
  </si>
  <si>
    <t>Overtime Compensation</t>
  </si>
  <si>
    <t>Ambulance - Mechanic</t>
  </si>
  <si>
    <t>Ambulance - Longevity</t>
  </si>
  <si>
    <t>'29-231-8231-5175-00</t>
  </si>
  <si>
    <t>Ambulance-DCRS Annual Assmt Allocation</t>
  </si>
  <si>
    <t>'29-231-8231-5197-00</t>
  </si>
  <si>
    <t>Ambulance-OPEB</t>
  </si>
  <si>
    <t>Ambulance - Unemployment Ins</t>
  </si>
  <si>
    <t>FY2019</t>
  </si>
  <si>
    <t>FY2020 Proposed Budget</t>
  </si>
  <si>
    <t>Dues and Memberships</t>
  </si>
  <si>
    <t>Receptionist/Assistant</t>
  </si>
  <si>
    <t>Coordinator of Admin Support</t>
  </si>
  <si>
    <t>Water Systems Operator</t>
  </si>
  <si>
    <t>District Reimb-Water Sys Op</t>
  </si>
  <si>
    <t>Advertising</t>
  </si>
  <si>
    <t>Printing of Town Report</t>
  </si>
  <si>
    <t>Postage</t>
  </si>
  <si>
    <t>Other Purchased Services</t>
  </si>
  <si>
    <t>Books and Publications</t>
  </si>
  <si>
    <t>Other Supplies</t>
  </si>
  <si>
    <t>In-State Travel</t>
  </si>
  <si>
    <t>Mileage Allowance</t>
  </si>
  <si>
    <t>Write-offs/Clearing Acct</t>
  </si>
  <si>
    <t>Selectmen-122</t>
  </si>
  <si>
    <t>Moderator-114</t>
  </si>
  <si>
    <t>Finance Committee-131</t>
  </si>
  <si>
    <t>5104</t>
  </si>
  <si>
    <t>5248</t>
  </si>
  <si>
    <t>Software Maintenance/License</t>
  </si>
  <si>
    <t>5582</t>
  </si>
  <si>
    <t>Computer Supplies</t>
  </si>
  <si>
    <t>Town Accountant-135</t>
  </si>
  <si>
    <t>5304</t>
  </si>
  <si>
    <t>5151</t>
  </si>
  <si>
    <t>Library Director</t>
  </si>
  <si>
    <t>5152</t>
  </si>
  <si>
    <t>Assistant Director/Youth Srvcs</t>
  </si>
  <si>
    <t>5153</t>
  </si>
  <si>
    <t>Assistant Librarian</t>
  </si>
  <si>
    <t>5154</t>
  </si>
  <si>
    <t>5210</t>
  </si>
  <si>
    <t>Electricity</t>
  </si>
  <si>
    <t>5211</t>
  </si>
  <si>
    <t>Heating Fuels</t>
  </si>
  <si>
    <t>5241</t>
  </si>
  <si>
    <t>Buildings/Grounds Maintenance</t>
  </si>
  <si>
    <t>5242</t>
  </si>
  <si>
    <t>5245</t>
  </si>
  <si>
    <t>Equipment Repair/Maintenance</t>
  </si>
  <si>
    <t>5247</t>
  </si>
  <si>
    <t>Computer Maintenance</t>
  </si>
  <si>
    <t>5293</t>
  </si>
  <si>
    <t>5309</t>
  </si>
  <si>
    <t>Bookbinding</t>
  </si>
  <si>
    <t>5341</t>
  </si>
  <si>
    <t>Telecommunications</t>
  </si>
  <si>
    <t>5383</t>
  </si>
  <si>
    <t>Programs</t>
  </si>
  <si>
    <t>5450</t>
  </si>
  <si>
    <t>Custodial Supplies</t>
  </si>
  <si>
    <t>5511</t>
  </si>
  <si>
    <t>Audio/Visual Supplies</t>
  </si>
  <si>
    <t>5513</t>
  </si>
  <si>
    <t>Library Cataloging</t>
  </si>
  <si>
    <t>5586</t>
  </si>
  <si>
    <t>Library Supplies</t>
  </si>
  <si>
    <t>5587</t>
  </si>
  <si>
    <t>Magazine/Newspaper Subscrip</t>
  </si>
  <si>
    <t>5595</t>
  </si>
  <si>
    <t>Bottled Water</t>
  </si>
  <si>
    <t>01-610-5100-5110-00</t>
  </si>
  <si>
    <t>01-610-5700-5514-00</t>
  </si>
  <si>
    <t>Auditing-136</t>
  </si>
  <si>
    <t>BoA-141</t>
  </si>
  <si>
    <t>Treasurer-145</t>
  </si>
  <si>
    <t>Tax Collector-146</t>
  </si>
  <si>
    <t>Legal-151</t>
  </si>
  <si>
    <t>HRB-152</t>
  </si>
  <si>
    <t>Town Clerk-161</t>
  </si>
  <si>
    <t>ConCom-171</t>
  </si>
  <si>
    <t>Planning Board-175</t>
  </si>
  <si>
    <t>ZBA-176</t>
  </si>
  <si>
    <t>CPC-179</t>
  </si>
  <si>
    <t>Housing-185</t>
  </si>
  <si>
    <t>REQUEST FOR NEW YR 27 HR FT -G5/S1</t>
  </si>
  <si>
    <t>G11/S8 -40hrs</t>
  </si>
  <si>
    <t>01-192-5700-5511-00</t>
  </si>
  <si>
    <t>Septic Pumpouts</t>
  </si>
  <si>
    <t>Facilities Maint Supplies</t>
  </si>
  <si>
    <t>Additional Equipment</t>
  </si>
  <si>
    <t>Replacement Equipment</t>
  </si>
  <si>
    <t>01-194-5700-5420-00</t>
  </si>
  <si>
    <t>01-194-5700-5871-00</t>
  </si>
  <si>
    <t>Lab Testing</t>
  </si>
  <si>
    <t>Community Center-194</t>
  </si>
  <si>
    <t>Alarm Monitoring</t>
  </si>
  <si>
    <t>Vehicle Maintenance</t>
  </si>
  <si>
    <t>Radio Repair/Maintenance</t>
  </si>
  <si>
    <t>Gasoline</t>
  </si>
  <si>
    <t>Uniforms</t>
  </si>
  <si>
    <t>Ammunition</t>
  </si>
  <si>
    <t>Police Chief</t>
  </si>
  <si>
    <t>On-Call Compensation</t>
  </si>
  <si>
    <t>Summer/Special Police Officers</t>
  </si>
  <si>
    <t>Special Police Officers</t>
  </si>
  <si>
    <t>Traffic Officers</t>
  </si>
  <si>
    <t>Collective Barganing Incentive</t>
  </si>
  <si>
    <t>Holiday Pay</t>
  </si>
  <si>
    <t>Security</t>
  </si>
  <si>
    <t>Patrolman-#3 WF</t>
  </si>
  <si>
    <t>Police Sergeant-SS</t>
  </si>
  <si>
    <t>Patrolman/Detective -ER</t>
  </si>
  <si>
    <t>Patrolman-#2 JB</t>
  </si>
  <si>
    <t>FY2020 Compensation Plan - Based on 2.20% COLA</t>
  </si>
  <si>
    <t>FY19 Compensation Plan</t>
  </si>
  <si>
    <t>Longevity for FY20</t>
  </si>
  <si>
    <t>contract</t>
  </si>
  <si>
    <t>G8/S7</t>
  </si>
  <si>
    <t>G11/S7</t>
  </si>
  <si>
    <t>G9/S5</t>
  </si>
  <si>
    <t>G5/S6</t>
  </si>
  <si>
    <t>G10/S7</t>
  </si>
  <si>
    <t>MALAN SIGELMAN</t>
  </si>
  <si>
    <t>G4/S6</t>
  </si>
  <si>
    <t>G2/S7</t>
  </si>
  <si>
    <t>G12/S4</t>
  </si>
  <si>
    <t>TAMAR ROGERS</t>
  </si>
  <si>
    <t>ASST. BEACH SUPER   G6/S8</t>
  </si>
  <si>
    <t>G8/S5</t>
  </si>
  <si>
    <t>Expended 12/31/18</t>
  </si>
  <si>
    <t>TTA JACKET GIFT FUND</t>
  </si>
  <si>
    <t>MARGARET HOWE FREYDBERG GIFTS</t>
  </si>
  <si>
    <t>TRIANGLE BEAUTIFICATION</t>
  </si>
  <si>
    <t>SCHOOL PRJ/PLAYGROUND GIFTS</t>
  </si>
  <si>
    <t>TTA RESERVE - UNENCUMBERED</t>
  </si>
  <si>
    <t>WARRANT ARTICLES</t>
  </si>
  <si>
    <t>Administrative Assistant</t>
  </si>
  <si>
    <t>Legal Counsel</t>
  </si>
  <si>
    <t>Printing</t>
  </si>
  <si>
    <t>MVRHS District Assessment</t>
  </si>
  <si>
    <t>Up-Island District Assessment</t>
  </si>
  <si>
    <t>Chilmark School</t>
  </si>
  <si>
    <t>District Reimbursement</t>
  </si>
  <si>
    <t>Engley  Property</t>
  </si>
  <si>
    <t>Landfill Capping</t>
  </si>
  <si>
    <t>Town Hall Addition</t>
  </si>
  <si>
    <t>Elementery School Repairs</t>
  </si>
  <si>
    <t>Clay Rights</t>
  </si>
  <si>
    <t>Middle Line Road Housing</t>
  </si>
  <si>
    <t>DCRHA Reimbursement-MLR</t>
  </si>
  <si>
    <t>Pier Connector</t>
  </si>
  <si>
    <t>Road Paving-2015P</t>
  </si>
  <si>
    <t>Road Paving-2015 I</t>
  </si>
  <si>
    <t>Election Workers</t>
  </si>
  <si>
    <t>Registrars</t>
  </si>
  <si>
    <t>Dog License Supplies</t>
  </si>
  <si>
    <t>Bonding</t>
  </si>
  <si>
    <t>G11/S6 - 21 hrs</t>
  </si>
  <si>
    <t>Consultants</t>
  </si>
  <si>
    <t>Water Testing</t>
  </si>
  <si>
    <t>Recording/Fiscal Advisory Fees</t>
  </si>
  <si>
    <t>G11/S6 - 14 hrs</t>
  </si>
  <si>
    <t>01-161-5100-5142-00</t>
  </si>
  <si>
    <t>1st YR Longevity</t>
  </si>
  <si>
    <t>01-175-5100-5142-00</t>
  </si>
  <si>
    <t>01-152-5100-5142-00</t>
  </si>
  <si>
    <t>Cemetery Superintendent</t>
  </si>
  <si>
    <t>Temporary Employee</t>
  </si>
  <si>
    <t>Contractual Labor</t>
  </si>
  <si>
    <t>Groundskeeping Supplies</t>
  </si>
  <si>
    <t>G11/S6 J.Christy 2hr/wk Admin</t>
  </si>
  <si>
    <t>G7/S4 261 hours</t>
  </si>
  <si>
    <t>G7/S4</t>
  </si>
  <si>
    <t>4%-TwnAdmn; 1% CAS; 1%Asst</t>
  </si>
  <si>
    <t>Town Administrator</t>
  </si>
  <si>
    <t>Assistant Assessor</t>
  </si>
  <si>
    <t>Mapping Services</t>
  </si>
  <si>
    <t>Abstracts</t>
  </si>
  <si>
    <t>G11/S7-38.5 hrs</t>
  </si>
  <si>
    <t>3% - Assistant Assessor</t>
  </si>
  <si>
    <t>'01-141-5700-5306-00</t>
  </si>
  <si>
    <t>Tax Bills</t>
  </si>
  <si>
    <t>FY20 emailed by C.H. 12/3/18</t>
  </si>
  <si>
    <t>3% Chief; SS1%</t>
  </si>
  <si>
    <t>5110</t>
  </si>
  <si>
    <t>Data Processing</t>
  </si>
  <si>
    <t>Bank Service Charges</t>
  </si>
  <si>
    <t>3% - Treasurer</t>
  </si>
  <si>
    <t>2% - custodian,1% Janitor</t>
  </si>
  <si>
    <t>Engineering Services</t>
  </si>
  <si>
    <t>Departmental Reserves</t>
  </si>
  <si>
    <t>Utilities-CVEC PPA</t>
  </si>
  <si>
    <t>Pasture Hill Rd Maint</t>
  </si>
  <si>
    <t>Town Owned Property-198</t>
  </si>
  <si>
    <t>move from 422 to 198 FY18</t>
  </si>
  <si>
    <t>Water Utility</t>
  </si>
  <si>
    <t>Tipping Fees/Waste Disposal</t>
  </si>
  <si>
    <t>Portable Toilet Rentals</t>
  </si>
  <si>
    <t>'01-199-5700-5241-00</t>
  </si>
  <si>
    <t>'01-199-5700-5254-00</t>
  </si>
  <si>
    <t>Emergency Management- Staffing</t>
  </si>
  <si>
    <t>Fire Department-220</t>
  </si>
  <si>
    <t>Police Department-210</t>
  </si>
  <si>
    <t>Comfort Station-199</t>
  </si>
  <si>
    <t>Assistant ACO</t>
  </si>
  <si>
    <t>Medical Services</t>
  </si>
  <si>
    <t>Boarding Costs</t>
  </si>
  <si>
    <t>Inspections</t>
  </si>
  <si>
    <t>Shellfish Constable</t>
  </si>
  <si>
    <t>Asst Shellfish Constable</t>
  </si>
  <si>
    <t>Boat Maintenance</t>
  </si>
  <si>
    <t>Boat or Vehicle Usage</t>
  </si>
  <si>
    <t>Shellfish Propagation</t>
  </si>
  <si>
    <t>Boat Fuel</t>
  </si>
  <si>
    <t>Purchase of Seed</t>
  </si>
  <si>
    <t>MV Shellfish Assessment</t>
  </si>
  <si>
    <t>Milieage Allowance</t>
  </si>
  <si>
    <t>Island CoA - Salaries</t>
  </si>
  <si>
    <t>Island CoA - Expenses</t>
  </si>
  <si>
    <t>VHCAP</t>
  </si>
  <si>
    <t>4-15 #15 C4L Bldg</t>
  </si>
  <si>
    <t>4-16 #21 CORE Prgrm-CoA</t>
  </si>
  <si>
    <t>'01-541-5700-5267-00</t>
  </si>
  <si>
    <t>'01-541-5700-5268-00</t>
  </si>
  <si>
    <t>CoA Sal - FY20 UICoA Budget</t>
  </si>
  <si>
    <t>CoA Exp-FY20 UICoA Budget</t>
  </si>
  <si>
    <t>First Stop/HATF</t>
  </si>
  <si>
    <t>Workers Compensation Insurance</t>
  </si>
  <si>
    <t>Health Insurance-Active Emply</t>
  </si>
  <si>
    <t>Health Insurance-Retirees</t>
  </si>
  <si>
    <t>Health Ins Mitigation</t>
  </si>
  <si>
    <t>OPEB Trust Contribution</t>
  </si>
  <si>
    <t>Group Life Insurance</t>
  </si>
  <si>
    <t>County Retirement Charges</t>
  </si>
  <si>
    <t>'01-910-5700-5202-00</t>
  </si>
  <si>
    <t>OPEB Trust ADMIN Fee</t>
  </si>
  <si>
    <t>Insurance Premiums</t>
  </si>
  <si>
    <t>FD PD Chap111F Insurance</t>
  </si>
  <si>
    <t>Harbor Insurance</t>
  </si>
  <si>
    <t>Incident Deductable</t>
  </si>
  <si>
    <t>Housing - Housing Assessment</t>
  </si>
  <si>
    <r>
      <t>*</t>
    </r>
    <r>
      <rPr>
        <i/>
        <sz val="9"/>
        <color theme="1"/>
        <rFont val="Century Gothic"/>
        <family val="2"/>
      </rPr>
      <t>approved by Committee …</t>
    </r>
  </si>
  <si>
    <t>G6/S6 - 5 hrs</t>
  </si>
  <si>
    <t>G12/S4 - 40 hrs/wk BR</t>
  </si>
  <si>
    <t>G10/S6 - 40 hrs/wk MM</t>
  </si>
  <si>
    <t>G9/S4 - 40 hrs/wk TC</t>
  </si>
  <si>
    <t>G9/S4 - 40 hrs/wk ES</t>
  </si>
  <si>
    <t>G9/S5 - 40 hrs/wk JB</t>
  </si>
  <si>
    <t>G9/S2 - 30 hrs/wk BB</t>
  </si>
  <si>
    <t>G8/S5 - 25hrs</t>
  </si>
  <si>
    <t>Ambulance-YR Paramedic 4</t>
  </si>
  <si>
    <t>Superintendent of Streets</t>
  </si>
  <si>
    <t>Street Lighting</t>
  </si>
  <si>
    <t>Catch Basin Cleaning</t>
  </si>
  <si>
    <t>Tea Lane/Meetinghouse Maint</t>
  </si>
  <si>
    <t>Street Sweeping</t>
  </si>
  <si>
    <t>Painting Street Lines</t>
  </si>
  <si>
    <t>Roadside Tree Maintenance</t>
  </si>
  <si>
    <t>Highway Vehicle Usage</t>
  </si>
  <si>
    <t>Hand Tools and Supplies</t>
  </si>
  <si>
    <t>Highway Maintenance Materials</t>
  </si>
  <si>
    <t>Signs</t>
  </si>
  <si>
    <t>Police Detail</t>
  </si>
  <si>
    <t>3% - Superintendant</t>
  </si>
  <si>
    <t>2@G4/S4=20.05 20hrswk/42 wks</t>
  </si>
  <si>
    <t>Snow Removal Services</t>
  </si>
  <si>
    <t>Sand and Salt</t>
  </si>
  <si>
    <t>Fire Chief</t>
  </si>
  <si>
    <t>Forest Warden</t>
  </si>
  <si>
    <t>Fire Officers</t>
  </si>
  <si>
    <t>Firefighters</t>
  </si>
  <si>
    <t>Fire/Oil Burner Inspections</t>
  </si>
  <si>
    <t>Fire Mgmt/Developmt Support</t>
  </si>
  <si>
    <t>Copier Supplies</t>
  </si>
  <si>
    <t>Firefighting Supplies</t>
  </si>
  <si>
    <t>Fire Safety Education Supplies</t>
  </si>
  <si>
    <t>Fire Training</t>
  </si>
  <si>
    <t>'01-220-5100-5142-00</t>
  </si>
  <si>
    <t>Cultural Council Assessment</t>
  </si>
  <si>
    <t>Building Inspector</t>
  </si>
  <si>
    <t>Gas Inspector</t>
  </si>
  <si>
    <t>Plumbing Inspector</t>
  </si>
  <si>
    <t>Electrical Inspector</t>
  </si>
  <si>
    <t>'01-241-5700-5343-00</t>
  </si>
  <si>
    <t>G9/S7-40hrs</t>
  </si>
  <si>
    <t>G6/S4-30hrs Year Round</t>
  </si>
  <si>
    <t>Harbormaster</t>
  </si>
  <si>
    <t>Asst. Harbormaster</t>
  </si>
  <si>
    <t>Asst. Wharfinger</t>
  </si>
  <si>
    <t>Harbor Pilings</t>
  </si>
  <si>
    <t>Harbor Boat Maintenance</t>
  </si>
  <si>
    <t>Credit Card Fees</t>
  </si>
  <si>
    <t>Sarian Inspection</t>
  </si>
  <si>
    <t>Landfill Maintenance</t>
  </si>
  <si>
    <t>Waste Transporation</t>
  </si>
  <si>
    <t>MVRD&amp;RRD Assessment</t>
  </si>
  <si>
    <t>Waste Collection-430</t>
  </si>
  <si>
    <t>Administrator/Inspector-BoH</t>
  </si>
  <si>
    <t>Mosquito Testing</t>
  </si>
  <si>
    <t>Visiting Nurse Services</t>
  </si>
  <si>
    <t>Board of Health-510</t>
  </si>
  <si>
    <t>Beach Superintendents</t>
  </si>
  <si>
    <t>Assistant Beach Superintendent</t>
  </si>
  <si>
    <t>Lifeguards</t>
  </si>
  <si>
    <t>Sticker Clerks</t>
  </si>
  <si>
    <t>Beach Gate Guards</t>
  </si>
  <si>
    <t>Parking Attendants</t>
  </si>
  <si>
    <t>Plover Inspections</t>
  </si>
  <si>
    <t>Recreational Supplies</t>
  </si>
  <si>
    <t>CPA Fund - Undesigated Balance</t>
  </si>
  <si>
    <t>CPA Fund - Reserve for Open Space</t>
  </si>
  <si>
    <t>CPA Fund - Reserve for Historic Res</t>
  </si>
  <si>
    <t>CPA Fund - Reserve for Comm Housing</t>
  </si>
  <si>
    <t>MA Local Preparedness Grant</t>
  </si>
  <si>
    <t>MA Security Trust Fund Grant</t>
  </si>
  <si>
    <t>MA Elections Grant</t>
  </si>
  <si>
    <t>MA Community Policing Grant</t>
  </si>
  <si>
    <t>MA Public Safety Equipment Grant</t>
  </si>
  <si>
    <t>MA Firefighters Grant</t>
  </si>
  <si>
    <t>MA MEMA Grant</t>
  </si>
  <si>
    <t>MA Title V Septic Repair Grant</t>
  </si>
  <si>
    <t>MA Library Grant</t>
  </si>
  <si>
    <t>MA Cultural Council Grant</t>
  </si>
  <si>
    <t>FUND 26 - STATE GRANTS</t>
  </si>
  <si>
    <t>FUND 28 - GIFT FUND</t>
  </si>
  <si>
    <t>FUND 27 - RESERVED FOR APPROPRIATION</t>
  </si>
  <si>
    <t>FY20 Budget Process</t>
  </si>
  <si>
    <t>Air Pollution Assessment</t>
  </si>
  <si>
    <t>RMV Non-Renewal Assessment</t>
  </si>
  <si>
    <t>Regional Transit Assessment</t>
  </si>
  <si>
    <t>MV Commission Assessment</t>
  </si>
  <si>
    <t>01-840-5700-xxxx-00</t>
  </si>
  <si>
    <t>RECC-Regional Emerg ComCtr</t>
  </si>
  <si>
    <t>per TC 12/13/18 email</t>
  </si>
  <si>
    <t>Fiscal Year 2020</t>
  </si>
  <si>
    <t>Operating Budget:</t>
  </si>
  <si>
    <t>CH 12/19/18</t>
  </si>
  <si>
    <t>SALE OF CEMETERY LOTS</t>
  </si>
  <si>
    <t>OVERLAY  (cumulative bal)</t>
  </si>
  <si>
    <t>SHELLFISH PROPOGATION GRANT</t>
  </si>
  <si>
    <t>COUNTY DOG FUND</t>
  </si>
  <si>
    <t>EELGRASS RESTORATION GIFT</t>
  </si>
  <si>
    <t>FUND 29 - SPECIAL REVENUE FUND</t>
  </si>
  <si>
    <t>TTA RESERVE - ENCUMBERED FOR BUDGET OFFSET</t>
  </si>
  <si>
    <t>MFAHT</t>
  </si>
  <si>
    <t>MFAHT CAPITAL REPAIRS</t>
  </si>
  <si>
    <t>CCC JOINT MAINTENANCE FUND</t>
  </si>
  <si>
    <t>TTA OPERATING BUDGET BALANCE</t>
  </si>
  <si>
    <t>FUND 25 - COMMUNITY PRESERVATION</t>
  </si>
  <si>
    <t>FUND 38 - CPA CAPITAL PROJECTS</t>
  </si>
  <si>
    <t>FUND 81 &amp; 82 COMBINED TRUSTS</t>
  </si>
  <si>
    <t>CEMETERY PERPETUAL CARE</t>
  </si>
  <si>
    <t>FLOSS E. MAYHEW</t>
  </si>
  <si>
    <t>MARGARET KING</t>
  </si>
  <si>
    <t>MARIE DARLING</t>
  </si>
  <si>
    <t>ELISA BRICKNER</t>
  </si>
  <si>
    <t>FUND 84 -OPEB TRUST FMV</t>
  </si>
  <si>
    <t>FUND 83 - STABILIZATION FUNDS</t>
  </si>
  <si>
    <t>**Other</t>
  </si>
  <si>
    <t>TOURISM &amp; ECONOMIC DEVELOPMENT</t>
  </si>
  <si>
    <t>TTA NEW AMBULANCE/COTS</t>
  </si>
  <si>
    <t>OTHER</t>
  </si>
  <si>
    <t>Moderator</t>
  </si>
  <si>
    <t>Finance Committee</t>
  </si>
  <si>
    <t>Legal</t>
  </si>
  <si>
    <t>Personnel Board</t>
  </si>
  <si>
    <t>Community Preservation Comm</t>
  </si>
  <si>
    <t>Town Offices/Building Mainten</t>
  </si>
  <si>
    <t>Community Center</t>
  </si>
  <si>
    <t>Selectmens Maint/Unclassified</t>
  </si>
  <si>
    <t>Town Owned Property</t>
  </si>
  <si>
    <t>Comfort Station</t>
  </si>
  <si>
    <t>Ambulance Service Assessment</t>
  </si>
  <si>
    <t>Waste Collection and Disposal</t>
  </si>
  <si>
    <t>Recreation</t>
  </si>
  <si>
    <t>Short Term Interest</t>
  </si>
  <si>
    <t>Employee Benefits and Contrib</t>
  </si>
  <si>
    <t>Liability Insurance</t>
  </si>
  <si>
    <t>'01-161-5700-5876-00</t>
  </si>
  <si>
    <t>Postage rate increase</t>
  </si>
  <si>
    <t>Lowered to keep exp 5% proj rev</t>
  </si>
  <si>
    <t>01-194-5700-5511-00</t>
  </si>
  <si>
    <t>'01-198-5700-5399-00</t>
  </si>
  <si>
    <t>'01-199-5700-5450-00</t>
  </si>
  <si>
    <t>% of TL</t>
  </si>
  <si>
    <t>'01-422-5700-5711-00</t>
  </si>
  <si>
    <t>MV Refuse District Billing</t>
  </si>
  <si>
    <t>'01-491-5100-5142-00</t>
  </si>
  <si>
    <t>Cemetery Commission-491</t>
  </si>
  <si>
    <t>Snow and Ice Removal-423</t>
  </si>
  <si>
    <t>Highway Maintenance-422</t>
  </si>
  <si>
    <t>Education-300</t>
  </si>
  <si>
    <t>Shellfish Department-299</t>
  </si>
  <si>
    <t>Animal Inspector-296</t>
  </si>
  <si>
    <t>Harbor Department-295</t>
  </si>
  <si>
    <t>Animal Control Officer-292</t>
  </si>
  <si>
    <t>Emergency Management-291</t>
  </si>
  <si>
    <t>Building Inspections-241</t>
  </si>
  <si>
    <t>Tri-Town Ambulance-231</t>
  </si>
  <si>
    <t>Selectmen's Maintenance-196</t>
  </si>
  <si>
    <t>CTH Building-192</t>
  </si>
  <si>
    <t>Social Services-541</t>
  </si>
  <si>
    <t>Library Assistants</t>
  </si>
  <si>
    <t>Library Department-610</t>
  </si>
  <si>
    <t>Beach Department-630</t>
  </si>
  <si>
    <t>'01-630-5700-5307-00</t>
  </si>
  <si>
    <t>Parks-650</t>
  </si>
  <si>
    <t>Cultural Council-699</t>
  </si>
  <si>
    <t>Historical Commission-691</t>
  </si>
  <si>
    <t>Retirement of Debt Principal-710</t>
  </si>
  <si>
    <t>Short-Term Interest-752</t>
  </si>
  <si>
    <t>Retirement of Debt Interest-751</t>
  </si>
  <si>
    <t>Recap pg 2</t>
  </si>
  <si>
    <t>Other Assessments-840</t>
  </si>
  <si>
    <t>State Assessments-820</t>
  </si>
  <si>
    <t>County Assessments-830</t>
  </si>
  <si>
    <t>'01-910-5700-5204-00</t>
  </si>
  <si>
    <t>'01-910-5700-5203-00</t>
  </si>
  <si>
    <t>Executive Benefits</t>
  </si>
  <si>
    <t>HSA - Town Contribution</t>
  </si>
  <si>
    <t>'01-910-5700-5189-00</t>
  </si>
  <si>
    <t>'01-910-5700-5196-00</t>
  </si>
  <si>
    <t>'01-910-5700-5197-00</t>
  </si>
  <si>
    <t>FY20-0.3%FY19=0.3%,FY18=0.1%;FY17=0.2%,%FY16,FY15=0.5%,FY14=0.9%</t>
  </si>
  <si>
    <t>FY20 Proposed Salaries</t>
  </si>
  <si>
    <t>FY20</t>
  </si>
  <si>
    <t>MALKIN, J</t>
  </si>
  <si>
    <t>I</t>
  </si>
  <si>
    <t>SIGELMAN, M</t>
  </si>
  <si>
    <t>Booker, B</t>
  </si>
  <si>
    <t>CAPE COD HEALTH INS JAN 2019 BILL:</t>
  </si>
  <si>
    <t>CAPE COD MedEx JAN 2019 BILL:</t>
  </si>
  <si>
    <t>Health Insurance- Elected Officials</t>
  </si>
  <si>
    <t>Retirees &amp;Medex</t>
  </si>
  <si>
    <t>0.3% FUTA Rate FY20</t>
  </si>
  <si>
    <t>6FT postitions</t>
  </si>
  <si>
    <t>PB plans to join the available professional organizations: American Planners Assoc.</t>
  </si>
  <si>
    <t>emphasis on non-paper communications with the public and a miminal amount of public hearings related to definitive subdivisions in recent years.</t>
  </si>
  <si>
    <t>*Postage Analysis FY20</t>
  </si>
  <si>
    <t>* Clerk Prof Dev Cost Analysis FY20</t>
  </si>
  <si>
    <t>*cost analysis chart</t>
  </si>
  <si>
    <t>Automark implemenation @ATE 2020</t>
  </si>
  <si>
    <t>Cem Comm voted 12/27/18</t>
  </si>
  <si>
    <t>300 xfer tp DEPT 198</t>
  </si>
  <si>
    <t>2600 xfer to DEPT 198</t>
  </si>
  <si>
    <t>G10/S7 - 40 hrs</t>
  </si>
  <si>
    <t>5 days of tree work@2500</t>
  </si>
  <si>
    <t>G11/S7 37.5hrs/wk</t>
  </si>
  <si>
    <t>Postage Estimate</t>
  </si>
  <si>
    <t>January 2020 Census Mailing</t>
  </si>
  <si>
    <t>This amount is based on the most current postage rate (as of Jan. 2019) of .50 cents per piece mailing approximately 680 households the 2020 census and allowing for some extra cost due to a few overseas mailings and any re-mailing due to returned mail.</t>
  </si>
  <si>
    <t>Spring 2020 2nd Census Mailing</t>
  </si>
  <si>
    <t>Postage rate of .50 cents per piece mailing approximately 150 2nd notice census envelopes.</t>
  </si>
  <si>
    <t>2020 Presidential Primary &amp; Spring ATE 2020 Absentee Ballots and other absentee and early voting mailings as needed</t>
  </si>
  <si>
    <t>There are two elections scheduled during FY20: the March 2020 Presidential Primary and the Annual Town Election in April 2020. Absentee ballot requests for elections have increased each year (see the Voter Trend Chart) and absentee ballots are regularly requested for all elections rather than just for state elections as in the past . Each absentee ballot packet will cost approximatelty 70 cents in FY20 to mail and approximately $2.25 to send overseas (most abs. ballots are emailed overseas and therefore do not require USPS expenditure, but town elections require the abs. ballot to be mailed via USPS). There is an additional amount added to this request in order to have funds available for absentee ballot mailings in the event that a special election is called or in the event that the local annual election has a race(s) that encourages higher voter interest and subsequent turnout.</t>
  </si>
  <si>
    <t>Summer Confirmation Card Mailing (Voter List)</t>
  </si>
  <si>
    <t xml:space="preserve">The Town Clerk is required to notify all nonrespondents to the yearly census, who are also voters, using the format of a confirmation card. In 2016, the cost was $47.60. In 2017, the expenditure was $104.72.  </t>
  </si>
  <si>
    <t>Acknowledgment Notices &amp; Notices of Removal (Voter Registration) &amp; other election related mailings</t>
  </si>
  <si>
    <t>The average number of acknowledgement notices and final notices of removal  in a year is 110. In busy election years the number is approximately 150. Due to the ease of online voter registration and online voter registration changes, since 2016, the number of required notices that must be sent has risen. There is an additional amount budgeted in order to continue to address this increase in mailings of notices.</t>
  </si>
  <si>
    <t>Other Mailings: including DBA license renewals, certified copies, bylaw mailings, vital records</t>
  </si>
  <si>
    <t>These mailings occur approximately 3-5 times per week</t>
  </si>
  <si>
    <t>TOTAL FY20 POSTAGE COSTS</t>
  </si>
  <si>
    <t>Winter Conference</t>
  </si>
  <si>
    <t>Summer Conference</t>
  </si>
  <si>
    <t>Steamship Round Trip Ticket</t>
  </si>
  <si>
    <t>Mileage Cost (.58 cents/mile)</t>
  </si>
  <si>
    <t>Meals</t>
  </si>
  <si>
    <t>Hotel Room</t>
  </si>
  <si>
    <t>Conference Fee</t>
  </si>
  <si>
    <t xml:space="preserve"> Winter MA Town Clerks Association Conference, Devens, MA: February 6-8. 2019 </t>
  </si>
  <si>
    <t xml:space="preserve"> Summer MA Town Clerks Association Conference, Plymouth: June 12-14, 2019 </t>
  </si>
  <si>
    <t>TOTAL In-State Travel:</t>
  </si>
  <si>
    <t>TOTAL Professional Development:</t>
  </si>
  <si>
    <t>Town Clerk - Travel/Prof. Development</t>
  </si>
  <si>
    <t>Town Clerk - Postage</t>
  </si>
  <si>
    <t>TL UICOA Assmt</t>
  </si>
  <si>
    <t>moved to budget</t>
  </si>
  <si>
    <t>4-15 #16 First Stop</t>
  </si>
  <si>
    <t>Healthy Aging MV</t>
  </si>
  <si>
    <t>C4L Bldg Debt</t>
  </si>
  <si>
    <t>C4L-Island Sr. Center Bldg Debt</t>
  </si>
  <si>
    <t>1/5 email Tim</t>
  </si>
  <si>
    <t>MV Senior Srvc Assessment-C4L</t>
  </si>
  <si>
    <t>MV C4L Assessment</t>
  </si>
  <si>
    <t>Janitor</t>
  </si>
  <si>
    <t>Computer Training/Support</t>
  </si>
  <si>
    <t>Copier Maintenance Contract</t>
  </si>
  <si>
    <t>GIS Software Maint</t>
  </si>
  <si>
    <t>County OPEB</t>
  </si>
  <si>
    <t>CoA Assessment</t>
  </si>
  <si>
    <t>'01-198-5700-5535-00</t>
  </si>
  <si>
    <t>Peaked Hill Ball Field mowing</t>
  </si>
  <si>
    <t>moved from 650 FY19</t>
  </si>
  <si>
    <t>Sub-Total Other locations</t>
  </si>
  <si>
    <t>Sub-Total LIB</t>
  </si>
  <si>
    <t>Deputy Director</t>
  </si>
  <si>
    <t>'01-292-5100-5142-00</t>
  </si>
  <si>
    <t>Svc Contract, recurring costs</t>
  </si>
  <si>
    <t>MCPPO</t>
  </si>
  <si>
    <t>MCPPO mileage reimb</t>
  </si>
  <si>
    <t>1/8/19 email</t>
  </si>
  <si>
    <t>6,100 xfer to DEPT 198-increase 1200</t>
  </si>
  <si>
    <t>1200 xfer to DEPT 198-increase 1200</t>
  </si>
  <si>
    <t>'01-198-5700-5241-00</t>
  </si>
  <si>
    <t>LIB - FY19 4900</t>
  </si>
  <si>
    <t xml:space="preserve">LIB-additional </t>
  </si>
  <si>
    <t>LIB-FY19 300</t>
  </si>
  <si>
    <t>G10/S5</t>
  </si>
  <si>
    <t>NEW Hire G10/S5</t>
  </si>
  <si>
    <t>'01-198-5700-5245-00</t>
  </si>
  <si>
    <t>'01-198-5700-5293-00</t>
  </si>
  <si>
    <t>'01-198-5700-5341-00</t>
  </si>
  <si>
    <t>15wks</t>
  </si>
  <si>
    <t>Health Ins-Active</t>
  </si>
  <si>
    <t>Health Ins-Elected Off</t>
  </si>
  <si>
    <t>Revenue Anticipation</t>
  </si>
  <si>
    <t>Bond Anticipation</t>
  </si>
  <si>
    <t>County Tax</t>
  </si>
  <si>
    <t>*58,300.67</t>
  </si>
  <si>
    <t>*pd 83,890.67/County Refund 25,590</t>
  </si>
  <si>
    <t>80% OF 2017 RESERVES</t>
  </si>
  <si>
    <t>75% OF 2018 RESERVES</t>
  </si>
  <si>
    <t>80% OF 2016 RESERVES</t>
  </si>
  <si>
    <t>80% OF 2015 RESERVES</t>
  </si>
  <si>
    <t>% of PY Surcharge for Service</t>
  </si>
  <si>
    <t>Building Inspector - Admin</t>
  </si>
  <si>
    <t>Lenny updated</t>
  </si>
  <si>
    <t>Lenny provided updates</t>
  </si>
  <si>
    <t>'01-241-5100-5108-00</t>
  </si>
  <si>
    <t>G6/S2</t>
  </si>
  <si>
    <t>*1/4/19 email</t>
  </si>
  <si>
    <t>*1/4/19 email-not approved by PERAC yet but "most likely will NOT change.  $356,909 or lump sum pymt $350,571</t>
  </si>
  <si>
    <t>Town Offices/Building Maint</t>
  </si>
  <si>
    <t>1/4/19 email-discounted rate</t>
  </si>
  <si>
    <t>Abila software</t>
  </si>
  <si>
    <t>MMAAA Annual Conference-Mar 19</t>
  </si>
  <si>
    <t>Hotel/SSA/travel</t>
  </si>
  <si>
    <t>NEW CHIEF</t>
  </si>
  <si>
    <t xml:space="preserve"> $112,800less: allocated portion</t>
  </si>
  <si>
    <t>FY20 PAYROLL SCHEDULE - 2.20% COLA (recommended  11/1/18 by HRB;  11/7/18 by FinCom)</t>
  </si>
  <si>
    <t>Grade /Step</t>
  </si>
  <si>
    <t>DAVID O. NORTON/TBD</t>
  </si>
  <si>
    <t xml:space="preserve">Longevity  </t>
  </si>
  <si>
    <t>Anniversary Pre/Post YE</t>
  </si>
  <si>
    <t>Yrs of Svc 6/30/20</t>
  </si>
  <si>
    <t>SALARIES</t>
  </si>
  <si>
    <t>TL</t>
  </si>
  <si>
    <t>BELINDA BOOKER</t>
  </si>
  <si>
    <t>TL SPECIAL</t>
  </si>
  <si>
    <t>non pension CTH</t>
  </si>
  <si>
    <t>non pension TTA</t>
  </si>
  <si>
    <t>2 of 3 Selectmen=non-retirement</t>
  </si>
  <si>
    <t>2of 3 Selectmen are NON-retirement</t>
  </si>
  <si>
    <t>Admin Assist - Front Desk Cvrg/Projects</t>
  </si>
  <si>
    <t>CHLMK Landfill Solar-VP Solar</t>
  </si>
  <si>
    <t>Electricity-192</t>
  </si>
  <si>
    <t>Electricity-194</t>
  </si>
  <si>
    <t>Electricity-198</t>
  </si>
  <si>
    <t>Electricity-199</t>
  </si>
  <si>
    <t>Electricity-210</t>
  </si>
  <si>
    <t>Electricity-220</t>
  </si>
  <si>
    <t>Electricity-295</t>
  </si>
  <si>
    <t>Electricity-299</t>
  </si>
  <si>
    <t>Electricity-422</t>
  </si>
  <si>
    <t>Electricity-430</t>
  </si>
  <si>
    <t>Electricity-630</t>
  </si>
  <si>
    <t>Shift OIC/EMT Incentive=$150/mo</t>
  </si>
  <si>
    <t>Normal Cost + interest</t>
  </si>
  <si>
    <t>Contributions-910</t>
  </si>
  <si>
    <t>Employee Benefits &amp;</t>
  </si>
  <si>
    <t>Contract-Def comp/Life/Disab</t>
  </si>
  <si>
    <t>WC???</t>
  </si>
  <si>
    <t>$ Inc</t>
  </si>
  <si>
    <t>Property &amp; Liability</t>
  </si>
  <si>
    <t>Insurance-945</t>
  </si>
  <si>
    <t>2hr/wk admin</t>
  </si>
  <si>
    <t>**turns 65 4 mo into yr and switches to MEDEX for 8 mo</t>
  </si>
  <si>
    <t>FY20 Projections</t>
  </si>
  <si>
    <t>Statutory Formula</t>
  </si>
  <si>
    <t>Dump Truck-Rental Equipment</t>
  </si>
  <si>
    <t>+cell phone</t>
  </si>
  <si>
    <t>Collective Barganing Agreement</t>
  </si>
  <si>
    <t>CBA</t>
  </si>
  <si>
    <t>Town of Chilmark Proposed Budget Analysis Report for FY2020-FINAL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</si>
</sst>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4" formatCode="_(&quot;$&quot;* #,##0.00_);_(&quot;$&quot;* \(#,##0.00\);_(&quot;$&quot;* &quot;-&quot;??_);_(@_)"/>
    <numFmt numFmtId="43" formatCode="_(* #,##0.00_);_(* \(#,##0.00\);_(* &quot;-&quot;??_);_(@_)"/>
    <numFmt numFmtId="164" formatCode="#,##0.00%;\(#,##0.00%\)"/>
    <numFmt numFmtId="165" formatCode="_(* #,##0_);_(* \(#,##0\);_(* &quot;-&quot;??_);_(@_)"/>
    <numFmt numFmtId="166" formatCode="_(* #,##0.000_);_(* \(#,##0.000\);_(* &quot;-&quot;??_);_(@_)"/>
    <numFmt numFmtId="167" formatCode="0.0%"/>
    <numFmt numFmtId="168" formatCode="_(* #,##0.0_);_(* \(#,##0.0\);_(* &quot;-&quot;??_);_(@_)"/>
    <numFmt numFmtId="169" formatCode="mmmm\-yy"/>
    <numFmt numFmtId="170" formatCode="_(&quot;$&quot;* #,##0_);_(&quot;$&quot;* \(#,##0\);_(&quot;$&quot;* &quot;-&quot;??_);_(@_)"/>
    <numFmt numFmtId="171" formatCode="0.0000%"/>
    <numFmt numFmtId="172" formatCode="&quot;$&quot;#,##0.00"/>
  </numFmts>
  <fonts count="86" x14ac:knownFonts="1">
    <font>
      <sz val="11"/>
      <color theme="1"/>
      <name val="Calibri"/>
      <family val="2"/>
      <scheme val="minor"/>
    </font>
    <font>
      <sz val="11"/>
      <color indexed="8"/>
      <name val="Calibri"/>
      <family val="2"/>
    </font>
    <font>
      <sz val="10"/>
      <color indexed="8"/>
      <name val="Century Gothic"/>
      <family val="2"/>
    </font>
    <font>
      <sz val="10"/>
      <name val="Arial"/>
      <family val="2"/>
    </font>
    <font>
      <sz val="14"/>
      <name val="Century Gothic"/>
      <family val="2"/>
    </font>
    <font>
      <sz val="10"/>
      <name val="Century Gothic"/>
      <family val="2"/>
    </font>
    <font>
      <b/>
      <sz val="10"/>
      <name val="Century Gothic"/>
      <family val="2"/>
    </font>
    <font>
      <sz val="10"/>
      <name val="MS Sans Serif"/>
      <family val="2"/>
    </font>
    <font>
      <sz val="10"/>
      <name val="Calibri"/>
      <family val="2"/>
    </font>
    <font>
      <sz val="10"/>
      <name val="Arial"/>
      <family val="2"/>
    </font>
    <font>
      <sz val="8"/>
      <name val="Century Gothic"/>
      <family val="2"/>
    </font>
    <font>
      <sz val="11"/>
      <color theme="1"/>
      <name val="Calibri"/>
      <family val="2"/>
      <scheme val="minor"/>
    </font>
    <font>
      <sz val="10"/>
      <color theme="1"/>
      <name val="Century Gothic"/>
      <family val="2"/>
    </font>
    <font>
      <b/>
      <sz val="10"/>
      <color theme="1"/>
      <name val="Century Gothic"/>
      <family val="2"/>
    </font>
    <font>
      <sz val="16"/>
      <color theme="1"/>
      <name val="Century Gothic"/>
      <family val="2"/>
    </font>
    <font>
      <u/>
      <sz val="16"/>
      <color theme="1"/>
      <name val="Century Gothic"/>
      <family val="2"/>
    </font>
    <font>
      <b/>
      <i/>
      <sz val="16"/>
      <color theme="1"/>
      <name val="Century Gothic"/>
      <family val="2"/>
    </font>
    <font>
      <u val="singleAccounting"/>
      <sz val="10"/>
      <color theme="1"/>
      <name val="Century Gothic"/>
      <family val="2"/>
    </font>
    <font>
      <b/>
      <sz val="14"/>
      <color indexed="8"/>
      <name val="Century Gothic"/>
      <family val="2"/>
    </font>
    <font>
      <b/>
      <sz val="10"/>
      <color indexed="8"/>
      <name val="Century Gothic"/>
      <family val="2"/>
    </font>
    <font>
      <b/>
      <sz val="14"/>
      <color theme="1"/>
      <name val="Century Gothic"/>
      <family val="2"/>
    </font>
    <font>
      <sz val="9"/>
      <color theme="1"/>
      <name val="Century Gothic"/>
      <family val="2"/>
    </font>
    <font>
      <b/>
      <sz val="8"/>
      <color indexed="81"/>
      <name val="Tahoma"/>
      <family val="2"/>
    </font>
    <font>
      <sz val="8"/>
      <color theme="1"/>
      <name val="Century Gothic"/>
      <family val="2"/>
    </font>
    <font>
      <b/>
      <sz val="11"/>
      <color theme="1"/>
      <name val="Calibri"/>
      <family val="2"/>
      <scheme val="minor"/>
    </font>
    <font>
      <sz val="10"/>
      <color theme="1"/>
      <name val="Calibri"/>
      <family val="2"/>
      <scheme val="minor"/>
    </font>
    <font>
      <b/>
      <u/>
      <sz val="10"/>
      <color theme="1"/>
      <name val="Century Gothic"/>
      <family val="2"/>
    </font>
    <font>
      <u/>
      <sz val="10"/>
      <color theme="1"/>
      <name val="Century Gothic"/>
      <family val="2"/>
    </font>
    <font>
      <sz val="10"/>
      <name val="Arial"/>
      <family val="2"/>
    </font>
    <font>
      <sz val="10"/>
      <name val="MS Sans Serif"/>
      <family val="2"/>
    </font>
    <font>
      <b/>
      <sz val="16"/>
      <color theme="1"/>
      <name val="Century Gothic"/>
      <family val="2"/>
    </font>
    <font>
      <i/>
      <sz val="9"/>
      <color theme="1"/>
      <name val="Century Gothic"/>
      <family val="2"/>
    </font>
    <font>
      <b/>
      <sz val="12"/>
      <name val="Times New Roman"/>
      <family val="1"/>
    </font>
    <font>
      <i/>
      <sz val="8"/>
      <color theme="1"/>
      <name val="Century Gothic"/>
      <family val="2"/>
    </font>
    <font>
      <i/>
      <sz val="10"/>
      <color theme="1"/>
      <name val="Century Gothic"/>
      <family val="2"/>
    </font>
    <font>
      <i/>
      <sz val="10"/>
      <name val="Century Gothic"/>
      <family val="2"/>
    </font>
    <font>
      <i/>
      <sz val="9"/>
      <name val="Century Gothic"/>
      <family val="2"/>
    </font>
    <font>
      <u val="singleAccounting"/>
      <sz val="10"/>
      <name val="Century Gothic"/>
      <family val="2"/>
    </font>
    <font>
      <b/>
      <sz val="11"/>
      <name val="Century Gothic"/>
      <family val="2"/>
    </font>
    <font>
      <b/>
      <i/>
      <sz val="10"/>
      <color theme="1"/>
      <name val="Century Gothic"/>
      <family val="2"/>
    </font>
    <font>
      <b/>
      <i/>
      <sz val="10"/>
      <color indexed="8"/>
      <name val="Century Gothic"/>
      <family val="2"/>
    </font>
    <font>
      <b/>
      <sz val="9"/>
      <color theme="1"/>
      <name val="Century Gothic"/>
      <family val="2"/>
    </font>
    <font>
      <b/>
      <sz val="8"/>
      <color theme="1"/>
      <name val="Century Gothic"/>
      <family val="2"/>
    </font>
    <font>
      <b/>
      <i/>
      <sz val="8"/>
      <name val="Century Gothic"/>
      <family val="2"/>
    </font>
    <font>
      <b/>
      <sz val="18"/>
      <color theme="1"/>
      <name val="Century Gothic"/>
      <family val="2"/>
    </font>
    <font>
      <sz val="18"/>
      <color theme="1"/>
      <name val="Century Gothic"/>
      <family val="2"/>
    </font>
    <font>
      <b/>
      <i/>
      <sz val="10"/>
      <name val="Century Gothic"/>
      <family val="2"/>
    </font>
    <font>
      <b/>
      <u/>
      <sz val="16"/>
      <color theme="1"/>
      <name val="Century Gothic"/>
      <family val="2"/>
    </font>
    <font>
      <sz val="16"/>
      <color theme="1"/>
      <name val="Candara"/>
      <family val="2"/>
    </font>
    <font>
      <sz val="9"/>
      <color indexed="8"/>
      <name val="Century Gothic"/>
      <family val="2"/>
    </font>
    <font>
      <b/>
      <sz val="11"/>
      <name val="Times New Roman"/>
      <family val="1"/>
    </font>
    <font>
      <u/>
      <sz val="11"/>
      <color theme="10"/>
      <name val="Calibri"/>
      <family val="2"/>
    </font>
    <font>
      <b/>
      <sz val="14"/>
      <name val="Times New Roman"/>
      <family val="1"/>
    </font>
    <font>
      <b/>
      <sz val="26"/>
      <name val="Times New Roman"/>
      <family val="1"/>
    </font>
    <font>
      <sz val="10"/>
      <name val="Times New Roman"/>
      <family val="1"/>
    </font>
    <font>
      <sz val="14"/>
      <name val="Times New Roman"/>
      <family val="1"/>
    </font>
    <font>
      <sz val="16"/>
      <name val="Times New Roman"/>
      <family val="1"/>
    </font>
    <font>
      <b/>
      <sz val="18"/>
      <name val="Times New Roman"/>
      <family val="1"/>
    </font>
    <font>
      <b/>
      <sz val="16"/>
      <name val="Times New Roman"/>
      <family val="1"/>
    </font>
    <font>
      <b/>
      <sz val="10"/>
      <name val="Times New Roman"/>
      <family val="1"/>
    </font>
    <font>
      <sz val="12"/>
      <name val="Times New Roman"/>
      <family val="1"/>
    </font>
    <font>
      <sz val="11"/>
      <name val="Times New Roman"/>
      <family val="1"/>
    </font>
    <font>
      <b/>
      <sz val="8"/>
      <name val="Century Gothic"/>
      <family val="2"/>
    </font>
    <font>
      <b/>
      <sz val="14"/>
      <color theme="1"/>
      <name val="Calibri"/>
      <family val="2"/>
      <scheme val="minor"/>
    </font>
    <font>
      <sz val="14"/>
      <color theme="1"/>
      <name val="Calibri"/>
      <family val="2"/>
      <scheme val="minor"/>
    </font>
    <font>
      <sz val="16"/>
      <color theme="1"/>
      <name val="Calibri"/>
      <family val="2"/>
      <scheme val="minor"/>
    </font>
    <font>
      <u val="singleAccounting"/>
      <sz val="14"/>
      <color theme="1"/>
      <name val="Calibri"/>
      <family val="2"/>
      <scheme val="minor"/>
    </font>
    <font>
      <b/>
      <sz val="12"/>
      <color theme="1"/>
      <name val="Calibri"/>
      <family val="2"/>
      <scheme val="minor"/>
    </font>
    <font>
      <i/>
      <sz val="12"/>
      <color theme="1"/>
      <name val="Calibri"/>
      <family val="2"/>
      <scheme val="minor"/>
    </font>
    <font>
      <sz val="12"/>
      <color theme="1"/>
      <name val="Calibri"/>
      <family val="2"/>
      <scheme val="minor"/>
    </font>
    <font>
      <u/>
      <sz val="12"/>
      <color theme="1"/>
      <name val="Calibri"/>
      <family val="2"/>
      <scheme val="minor"/>
    </font>
    <font>
      <b/>
      <sz val="12"/>
      <name val="Century Gothic"/>
      <family val="2"/>
    </font>
    <font>
      <sz val="12"/>
      <name val="Century Gothic"/>
      <family val="2"/>
    </font>
    <font>
      <b/>
      <sz val="14"/>
      <name val="Century Gothic"/>
      <family val="2"/>
    </font>
    <font>
      <sz val="12"/>
      <name val="Cambria"/>
      <family val="1"/>
      <scheme val="major"/>
    </font>
    <font>
      <b/>
      <sz val="12"/>
      <name val="Cambria"/>
      <family val="1"/>
      <scheme val="major"/>
    </font>
    <font>
      <sz val="12"/>
      <color theme="1"/>
      <name val="Century Gothic"/>
      <family val="2"/>
    </font>
    <font>
      <i/>
      <sz val="12"/>
      <name val="Century Gothic"/>
      <family val="2"/>
    </font>
    <font>
      <b/>
      <u val="singleAccounting"/>
      <sz val="12"/>
      <name val="Century Gothic"/>
      <family val="2"/>
    </font>
    <font>
      <u val="singleAccounting"/>
      <sz val="12"/>
      <name val="Century Gothic"/>
      <family val="2"/>
    </font>
    <font>
      <b/>
      <sz val="11"/>
      <color theme="1"/>
      <name val="Century Gothic"/>
      <family val="2"/>
    </font>
    <font>
      <b/>
      <i/>
      <sz val="11"/>
      <color theme="1"/>
      <name val="Century Gothic"/>
      <family val="2"/>
    </font>
    <font>
      <sz val="11"/>
      <color theme="1"/>
      <name val="Century Gothic"/>
      <family val="2"/>
    </font>
    <font>
      <b/>
      <sz val="11"/>
      <color indexed="8"/>
      <name val="Century Gothic"/>
      <family val="2"/>
    </font>
    <font>
      <u/>
      <sz val="11"/>
      <color theme="1"/>
      <name val="Century Gothic"/>
      <family val="2"/>
    </font>
    <font>
      <sz val="11"/>
      <color indexed="8"/>
      <name val="Century Gothic"/>
      <family val="2"/>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indexed="53"/>
        <bgColor indexed="64"/>
      </patternFill>
    </fill>
    <fill>
      <patternFill patternType="solid">
        <fgColor theme="3" tint="0.79998168889431442"/>
        <bgColor indexed="64"/>
      </patternFill>
    </fill>
    <fill>
      <patternFill patternType="solid">
        <fgColor rgb="FFFF0000"/>
        <bgColor indexed="64"/>
      </patternFill>
    </fill>
    <fill>
      <patternFill patternType="solid">
        <fgColor rgb="FF00B050"/>
        <bgColor indexed="64"/>
      </patternFill>
    </fill>
    <fill>
      <patternFill patternType="solid">
        <fgColor theme="0" tint="-0.14996795556505021"/>
        <bgColor indexed="64"/>
      </patternFill>
    </fill>
    <fill>
      <patternFill patternType="solid">
        <fgColor theme="7" tint="0.39997558519241921"/>
        <bgColor indexed="64"/>
      </patternFill>
    </fill>
    <fill>
      <patternFill patternType="solid">
        <fgColor rgb="FFFFFFCC"/>
        <bgColor indexed="64"/>
      </patternFill>
    </fill>
    <fill>
      <patternFill patternType="solid">
        <fgColor theme="5" tint="0.79998168889431442"/>
        <bgColor indexed="64"/>
      </patternFill>
    </fill>
    <fill>
      <patternFill patternType="solid">
        <fgColor rgb="FFCC0099"/>
        <bgColor indexed="64"/>
      </patternFill>
    </fill>
    <fill>
      <patternFill patternType="solid">
        <fgColor rgb="FF00B0F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CCCC00"/>
        <bgColor indexed="64"/>
      </patternFill>
    </fill>
    <fill>
      <patternFill patternType="solid">
        <fgColor rgb="FFFFC000"/>
        <bgColor indexed="64"/>
      </patternFill>
    </fill>
    <fill>
      <patternFill patternType="solid">
        <fgColor rgb="FFCCECFF"/>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66FFCC"/>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2D050"/>
        <bgColor indexed="64"/>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22"/>
      </left>
      <right/>
      <top/>
      <bottom/>
      <diagonal/>
    </border>
    <border>
      <left style="thin">
        <color indexed="22"/>
      </left>
      <right style="thin">
        <color indexed="22"/>
      </right>
      <top/>
      <bottom style="thin">
        <color indexed="22"/>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right/>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3">
    <xf numFmtId="0" fontId="0" fillId="0" borderId="0"/>
    <xf numFmtId="43" fontId="11"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8" fontId="7" fillId="0" borderId="0" applyFont="0" applyFill="0" applyBorder="0" applyAlignment="0" applyProtection="0"/>
    <xf numFmtId="0" fontId="3" fillId="0" borderId="0"/>
    <xf numFmtId="0" fontId="7" fillId="0" borderId="0"/>
    <xf numFmtId="0" fontId="8" fillId="0" borderId="0"/>
    <xf numFmtId="0" fontId="9" fillId="0" borderId="0"/>
    <xf numFmtId="0" fontId="3" fillId="0" borderId="0"/>
    <xf numFmtId="0" fontId="3" fillId="0" borderId="0"/>
    <xf numFmtId="0" fontId="1" fillId="0" borderId="0"/>
    <xf numFmtId="0" fontId="3" fillId="0" borderId="0"/>
    <xf numFmtId="9" fontId="11"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3" fontId="3" fillId="0" borderId="0" applyFont="0" applyFill="0" applyBorder="0" applyAlignment="0" applyProtection="0"/>
    <xf numFmtId="0" fontId="28" fillId="0" borderId="0"/>
    <xf numFmtId="44" fontId="28" fillId="0" borderId="0" applyFont="0" applyFill="0" applyBorder="0" applyAlignment="0" applyProtection="0"/>
    <xf numFmtId="0" fontId="29" fillId="0" borderId="0"/>
    <xf numFmtId="0" fontId="11" fillId="0" borderId="0"/>
    <xf numFmtId="44" fontId="11" fillId="0" borderId="0" applyFont="0" applyFill="0" applyBorder="0" applyAlignment="0" applyProtection="0"/>
    <xf numFmtId="0" fontId="51" fillId="0" borderId="0" applyNumberFormat="0" applyFill="0" applyBorder="0" applyAlignment="0" applyProtection="0">
      <alignment vertical="top"/>
      <protection locked="0"/>
    </xf>
  </cellStyleXfs>
  <cellXfs count="832">
    <xf numFmtId="0" fontId="0" fillId="0" borderId="0" xfId="0"/>
    <xf numFmtId="0" fontId="5" fillId="0" borderId="0" xfId="13" applyFont="1"/>
    <xf numFmtId="0" fontId="6" fillId="0" borderId="0" xfId="13" applyFont="1"/>
    <xf numFmtId="0" fontId="5" fillId="0" borderId="0" xfId="13" applyFont="1" applyBorder="1"/>
    <xf numFmtId="164" fontId="12" fillId="0" borderId="0" xfId="21" applyNumberFormat="1" applyFont="1" applyFill="1"/>
    <xf numFmtId="0" fontId="12" fillId="0" borderId="0" xfId="0" applyFont="1" applyBorder="1"/>
    <xf numFmtId="166" fontId="5" fillId="0" borderId="0" xfId="4" applyNumberFormat="1" applyFont="1"/>
    <xf numFmtId="0" fontId="5" fillId="0" borderId="1" xfId="13" applyFont="1" applyBorder="1"/>
    <xf numFmtId="0" fontId="5" fillId="3" borderId="0" xfId="13" applyFont="1" applyFill="1" applyBorder="1" applyAlignment="1">
      <alignment horizontal="center"/>
    </xf>
    <xf numFmtId="0" fontId="5" fillId="7" borderId="1" xfId="13" applyFont="1" applyFill="1" applyBorder="1"/>
    <xf numFmtId="2" fontId="5" fillId="7" borderId="1" xfId="13" applyNumberFormat="1" applyFont="1" applyFill="1" applyBorder="1"/>
    <xf numFmtId="2" fontId="5" fillId="7" borderId="0" xfId="13" applyNumberFormat="1" applyFont="1" applyFill="1" applyBorder="1"/>
    <xf numFmtId="0" fontId="5" fillId="7" borderId="0" xfId="13" applyFont="1" applyFill="1"/>
    <xf numFmtId="167" fontId="5" fillId="7" borderId="6" xfId="22" applyNumberFormat="1" applyFont="1" applyFill="1" applyBorder="1"/>
    <xf numFmtId="0" fontId="5" fillId="0" borderId="1" xfId="13" applyFont="1" applyFill="1" applyBorder="1"/>
    <xf numFmtId="2" fontId="5" fillId="0" borderId="1" xfId="13" applyNumberFormat="1" applyFont="1" applyFill="1" applyBorder="1"/>
    <xf numFmtId="2" fontId="5" fillId="7" borderId="0" xfId="13" applyNumberFormat="1" applyFont="1" applyFill="1"/>
    <xf numFmtId="0" fontId="5" fillId="0" borderId="7" xfId="13" applyFont="1" applyBorder="1"/>
    <xf numFmtId="2" fontId="5" fillId="0" borderId="1" xfId="13" applyNumberFormat="1" applyFont="1" applyBorder="1"/>
    <xf numFmtId="0" fontId="5" fillId="0" borderId="0" xfId="13" applyFont="1" applyAlignment="1">
      <alignment horizontal="center"/>
    </xf>
    <xf numFmtId="167" fontId="5" fillId="7" borderId="0" xfId="22" applyNumberFormat="1" applyFont="1" applyFill="1"/>
    <xf numFmtId="9" fontId="5" fillId="0" borderId="0" xfId="22" applyFont="1"/>
    <xf numFmtId="43" fontId="5" fillId="0" borderId="0" xfId="13" applyNumberFormat="1" applyFont="1"/>
    <xf numFmtId="43" fontId="5" fillId="0" borderId="0" xfId="4" applyFont="1"/>
    <xf numFmtId="167" fontId="5" fillId="3" borderId="6" xfId="22" applyNumberFormat="1" applyFont="1" applyFill="1" applyBorder="1"/>
    <xf numFmtId="10" fontId="5" fillId="0" borderId="0" xfId="22" applyNumberFormat="1" applyFont="1"/>
    <xf numFmtId="0" fontId="6" fillId="0" borderId="0" xfId="14" applyFont="1" applyBorder="1" applyAlignment="1">
      <alignment horizontal="center"/>
    </xf>
    <xf numFmtId="0" fontId="5" fillId="0" borderId="0" xfId="14" applyFont="1"/>
    <xf numFmtId="0" fontId="6" fillId="0" borderId="0" xfId="14" applyFont="1"/>
    <xf numFmtId="0" fontId="6" fillId="0" borderId="0" xfId="14" applyFont="1" applyFill="1"/>
    <xf numFmtId="0" fontId="6" fillId="0" borderId="9" xfId="14" applyNumberFormat="1" applyFont="1" applyBorder="1" applyAlignment="1"/>
    <xf numFmtId="0" fontId="6" fillId="0" borderId="10" xfId="14" applyNumberFormat="1" applyFont="1" applyBorder="1" applyAlignment="1"/>
    <xf numFmtId="0" fontId="6" fillId="0" borderId="9" xfId="14" applyNumberFormat="1" applyFont="1" applyBorder="1" applyAlignment="1">
      <alignment horizontal="center" wrapText="1"/>
    </xf>
    <xf numFmtId="0" fontId="6" fillId="0" borderId="4" xfId="14" applyNumberFormat="1" applyFont="1" applyBorder="1" applyAlignment="1">
      <alignment horizontal="center" wrapText="1"/>
    </xf>
    <xf numFmtId="0" fontId="6" fillId="0" borderId="10" xfId="14" applyFont="1" applyFill="1" applyBorder="1" applyAlignment="1">
      <alignment horizontal="center" wrapText="1"/>
    </xf>
    <xf numFmtId="0" fontId="6" fillId="6" borderId="4" xfId="14" applyFont="1" applyFill="1" applyBorder="1" applyAlignment="1">
      <alignment horizontal="center"/>
    </xf>
    <xf numFmtId="0" fontId="6" fillId="6" borderId="10" xfId="14" applyFont="1" applyFill="1" applyBorder="1" applyAlignment="1">
      <alignment horizontal="center"/>
    </xf>
    <xf numFmtId="0" fontId="6" fillId="5" borderId="9" xfId="14" applyFont="1" applyFill="1" applyBorder="1" applyAlignment="1">
      <alignment horizontal="center"/>
    </xf>
    <xf numFmtId="0" fontId="6" fillId="5" borderId="4" xfId="14" applyFont="1" applyFill="1" applyBorder="1" applyAlignment="1">
      <alignment horizontal="center"/>
    </xf>
    <xf numFmtId="0" fontId="6" fillId="5" borderId="10" xfId="14" applyFont="1" applyFill="1" applyBorder="1" applyAlignment="1">
      <alignment horizontal="center" wrapText="1"/>
    </xf>
    <xf numFmtId="0" fontId="5" fillId="0" borderId="0" xfId="14" quotePrefix="1" applyNumberFormat="1" applyFont="1"/>
    <xf numFmtId="44" fontId="12" fillId="0" borderId="0" xfId="11" applyFont="1" applyFill="1"/>
    <xf numFmtId="44" fontId="12" fillId="0" borderId="0" xfId="11" applyFont="1"/>
    <xf numFmtId="44" fontId="12" fillId="6" borderId="0" xfId="11" applyFont="1" applyFill="1"/>
    <xf numFmtId="44" fontId="5" fillId="0" borderId="0" xfId="14" applyNumberFormat="1" applyFont="1"/>
    <xf numFmtId="0" fontId="5" fillId="0" borderId="0" xfId="14" applyNumberFormat="1" applyFont="1"/>
    <xf numFmtId="0" fontId="6" fillId="5" borderId="0" xfId="14" quotePrefix="1" applyNumberFormat="1" applyFont="1" applyFill="1"/>
    <xf numFmtId="0" fontId="6" fillId="5" borderId="0" xfId="14" applyNumberFormat="1" applyFont="1" applyFill="1"/>
    <xf numFmtId="44" fontId="6" fillId="5" borderId="0" xfId="11" applyFont="1" applyFill="1"/>
    <xf numFmtId="0" fontId="6" fillId="5" borderId="0" xfId="14" applyFont="1" applyFill="1"/>
    <xf numFmtId="44" fontId="6" fillId="6" borderId="0" xfId="11" applyFont="1" applyFill="1"/>
    <xf numFmtId="44" fontId="6" fillId="5" borderId="0" xfId="14" applyNumberFormat="1" applyFont="1" applyFill="1"/>
    <xf numFmtId="43" fontId="12" fillId="0" borderId="0" xfId="5" applyFont="1"/>
    <xf numFmtId="0" fontId="6" fillId="0" borderId="0" xfId="14" quotePrefix="1" applyNumberFormat="1" applyFont="1" applyFill="1"/>
    <xf numFmtId="0" fontId="6" fillId="0" borderId="0" xfId="14" applyNumberFormat="1" applyFont="1" applyFill="1"/>
    <xf numFmtId="44" fontId="6" fillId="0" borderId="0" xfId="11" applyFont="1" applyFill="1"/>
    <xf numFmtId="44" fontId="5" fillId="10" borderId="0" xfId="21" applyNumberFormat="1" applyFont="1" applyFill="1"/>
    <xf numFmtId="0" fontId="5" fillId="5" borderId="0" xfId="14" applyFont="1" applyFill="1"/>
    <xf numFmtId="0" fontId="12" fillId="0" borderId="0" xfId="0" applyFont="1" applyAlignment="1">
      <alignment horizontal="center"/>
    </xf>
    <xf numFmtId="0" fontId="14" fillId="0" borderId="0" xfId="0" applyFont="1"/>
    <xf numFmtId="165" fontId="14" fillId="0" borderId="0" xfId="1" applyNumberFormat="1" applyFont="1"/>
    <xf numFmtId="0" fontId="14" fillId="0" borderId="0" xfId="0" applyFont="1" applyAlignment="1">
      <alignment horizontal="center"/>
    </xf>
    <xf numFmtId="43" fontId="14" fillId="0" borderId="0" xfId="1" applyFont="1"/>
    <xf numFmtId="165" fontId="14" fillId="0" borderId="4" xfId="1" applyNumberFormat="1" applyFont="1" applyBorder="1"/>
    <xf numFmtId="0" fontId="14" fillId="0" borderId="0" xfId="0" applyFont="1" applyAlignment="1">
      <alignment wrapText="1"/>
    </xf>
    <xf numFmtId="0" fontId="14" fillId="6" borderId="0" xfId="0" applyFont="1" applyFill="1"/>
    <xf numFmtId="165" fontId="14" fillId="6" borderId="0" xfId="1" applyNumberFormat="1" applyFont="1" applyFill="1"/>
    <xf numFmtId="0" fontId="14" fillId="9" borderId="0" xfId="0" applyFont="1" applyFill="1"/>
    <xf numFmtId="10" fontId="14" fillId="9" borderId="0" xfId="21" applyNumberFormat="1" applyFont="1" applyFill="1"/>
    <xf numFmtId="0" fontId="15" fillId="0" borderId="0" xfId="0" applyFont="1" applyAlignment="1">
      <alignment horizontal="center"/>
    </xf>
    <xf numFmtId="2" fontId="16" fillId="8" borderId="0" xfId="1" applyNumberFormat="1" applyFont="1" applyFill="1" applyAlignment="1">
      <alignment horizontal="center"/>
    </xf>
    <xf numFmtId="0" fontId="14" fillId="11" borderId="0" xfId="0" applyFont="1" applyFill="1"/>
    <xf numFmtId="2" fontId="14" fillId="11" borderId="0" xfId="1" applyNumberFormat="1" applyFont="1" applyFill="1" applyAlignment="1">
      <alignment horizontal="center"/>
    </xf>
    <xf numFmtId="10" fontId="14" fillId="9" borderId="0" xfId="21" applyNumberFormat="1" applyFont="1" applyFill="1" applyAlignment="1">
      <alignment horizontal="center"/>
    </xf>
    <xf numFmtId="165" fontId="14" fillId="0" borderId="0" xfId="0" applyNumberFormat="1" applyFont="1"/>
    <xf numFmtId="43" fontId="14" fillId="0" borderId="0" xfId="1" applyFont="1" applyAlignment="1">
      <alignment horizontal="center"/>
    </xf>
    <xf numFmtId="165" fontId="14" fillId="0" borderId="5" xfId="1" applyNumberFormat="1" applyFont="1" applyBorder="1"/>
    <xf numFmtId="0" fontId="0" fillId="0" borderId="0" xfId="0"/>
    <xf numFmtId="0" fontId="12" fillId="0" borderId="0" xfId="0" applyFont="1"/>
    <xf numFmtId="43" fontId="12" fillId="0" borderId="0" xfId="0" applyNumberFormat="1" applyFont="1"/>
    <xf numFmtId="164" fontId="12" fillId="0" borderId="0" xfId="21" applyNumberFormat="1" applyFont="1"/>
    <xf numFmtId="0" fontId="5" fillId="0" borderId="0" xfId="18" applyFont="1"/>
    <xf numFmtId="0" fontId="5" fillId="0" borderId="0" xfId="15" applyFont="1"/>
    <xf numFmtId="169" fontId="5" fillId="0" borderId="0" xfId="18" applyNumberFormat="1" applyFont="1" applyAlignment="1">
      <alignment horizontal="center"/>
    </xf>
    <xf numFmtId="169" fontId="5" fillId="0" borderId="0" xfId="18" applyNumberFormat="1" applyFont="1" applyFill="1" applyAlignment="1">
      <alignment horizontal="center"/>
    </xf>
    <xf numFmtId="9" fontId="5" fillId="0" borderId="0" xfId="25" applyFont="1"/>
    <xf numFmtId="43" fontId="5" fillId="0" borderId="0" xfId="8" applyFont="1"/>
    <xf numFmtId="43" fontId="5" fillId="0" borderId="0" xfId="8" applyFont="1" applyFill="1"/>
    <xf numFmtId="0" fontId="5" fillId="0" borderId="0" xfId="18" applyFont="1" applyFill="1"/>
    <xf numFmtId="10" fontId="12" fillId="0" borderId="0" xfId="21" applyNumberFormat="1" applyFont="1"/>
    <xf numFmtId="0" fontId="5" fillId="0" borderId="0" xfId="20" applyFont="1"/>
    <xf numFmtId="0" fontId="2" fillId="0" borderId="0" xfId="19" applyFont="1"/>
    <xf numFmtId="43" fontId="17" fillId="0" borderId="0" xfId="0" applyNumberFormat="1" applyFont="1"/>
    <xf numFmtId="43" fontId="0" fillId="0" borderId="0" xfId="0" applyNumberFormat="1"/>
    <xf numFmtId="0" fontId="6" fillId="0" borderId="0" xfId="18" applyFont="1"/>
    <xf numFmtId="14" fontId="6" fillId="0" borderId="0" xfId="18" applyNumberFormat="1" applyFont="1"/>
    <xf numFmtId="0" fontId="6" fillId="0" borderId="0" xfId="18" applyFont="1" applyFill="1" applyAlignment="1">
      <alignment horizontal="center"/>
    </xf>
    <xf numFmtId="9" fontId="6" fillId="0" borderId="0" xfId="25" applyFont="1"/>
    <xf numFmtId="0" fontId="6" fillId="0" borderId="0" xfId="18" applyFont="1" applyAlignment="1">
      <alignment horizontal="center"/>
    </xf>
    <xf numFmtId="43" fontId="6" fillId="0" borderId="5" xfId="8" applyFont="1" applyFill="1" applyBorder="1"/>
    <xf numFmtId="9" fontId="5" fillId="0" borderId="0" xfId="25" applyFont="1" applyFill="1"/>
    <xf numFmtId="0" fontId="12" fillId="4" borderId="0" xfId="0" applyFont="1" applyFill="1"/>
    <xf numFmtId="0" fontId="12" fillId="4" borderId="0" xfId="0" applyFont="1" applyFill="1" applyAlignment="1">
      <alignment horizontal="center"/>
    </xf>
    <xf numFmtId="0" fontId="12" fillId="0" borderId="0" xfId="0" applyFont="1" applyFill="1"/>
    <xf numFmtId="43" fontId="12" fillId="0" borderId="0" xfId="1" applyFont="1" applyFill="1"/>
    <xf numFmtId="0" fontId="18" fillId="0" borderId="0" xfId="0" applyFont="1"/>
    <xf numFmtId="0" fontId="12" fillId="0" borderId="2" xfId="0" applyFont="1" applyBorder="1" applyAlignment="1">
      <alignment horizontal="center" wrapText="1"/>
    </xf>
    <xf numFmtId="43" fontId="12" fillId="6" borderId="2" xfId="1" applyFont="1" applyFill="1" applyBorder="1" applyAlignment="1">
      <alignment horizontal="center"/>
    </xf>
    <xf numFmtId="43" fontId="12" fillId="6" borderId="2" xfId="1" applyFont="1" applyFill="1" applyBorder="1" applyAlignment="1">
      <alignment horizontal="center" wrapText="1"/>
    </xf>
    <xf numFmtId="0" fontId="12" fillId="6" borderId="2" xfId="0" applyFont="1" applyFill="1" applyBorder="1" applyAlignment="1">
      <alignment horizontal="center" wrapText="1"/>
    </xf>
    <xf numFmtId="0" fontId="12" fillId="6" borderId="2" xfId="0" applyFont="1" applyFill="1" applyBorder="1"/>
    <xf numFmtId="0" fontId="13" fillId="0" borderId="0" xfId="0" applyFont="1"/>
    <xf numFmtId="43" fontId="12" fillId="0" borderId="0" xfId="2" applyFont="1"/>
    <xf numFmtId="43" fontId="12" fillId="6" borderId="0" xfId="2" applyFont="1" applyFill="1"/>
    <xf numFmtId="0" fontId="13" fillId="5" borderId="0" xfId="0" applyFont="1" applyFill="1"/>
    <xf numFmtId="43" fontId="13" fillId="5" borderId="3" xfId="2" applyFont="1" applyFill="1" applyBorder="1"/>
    <xf numFmtId="43" fontId="13" fillId="5" borderId="0" xfId="2" applyFont="1" applyFill="1" applyBorder="1"/>
    <xf numFmtId="164" fontId="12" fillId="5" borderId="0" xfId="21" applyNumberFormat="1" applyFont="1" applyFill="1"/>
    <xf numFmtId="0" fontId="13" fillId="0" borderId="0" xfId="0" applyFont="1" applyFill="1"/>
    <xf numFmtId="0" fontId="12" fillId="0" borderId="0" xfId="0" quotePrefix="1" applyFont="1"/>
    <xf numFmtId="4" fontId="12" fillId="0" borderId="0" xfId="0" applyNumberFormat="1" applyFont="1"/>
    <xf numFmtId="43" fontId="13" fillId="0" borderId="5" xfId="0" applyNumberFormat="1" applyFont="1" applyBorder="1"/>
    <xf numFmtId="4" fontId="13" fillId="0" borderId="0" xfId="0" applyNumberFormat="1" applyFont="1"/>
    <xf numFmtId="43" fontId="13" fillId="0" borderId="0" xfId="1" applyFont="1" applyFill="1"/>
    <xf numFmtId="0" fontId="13" fillId="0" borderId="0" xfId="0" applyFont="1" applyAlignment="1">
      <alignment horizontal="center"/>
    </xf>
    <xf numFmtId="0" fontId="12" fillId="0" borderId="0" xfId="0" applyFont="1" applyAlignment="1">
      <alignment horizontal="left"/>
    </xf>
    <xf numFmtId="4" fontId="13" fillId="0" borderId="0" xfId="0" applyNumberFormat="1" applyFont="1" applyAlignment="1">
      <alignment horizontal="right"/>
    </xf>
    <xf numFmtId="170" fontId="5" fillId="0" borderId="0" xfId="10" applyNumberFormat="1" applyFont="1" applyFill="1" applyBorder="1"/>
    <xf numFmtId="0" fontId="5" fillId="0" borderId="0" xfId="0" applyFont="1" applyFill="1" applyBorder="1" applyAlignment="1"/>
    <xf numFmtId="0" fontId="12" fillId="0" borderId="0" xfId="0" applyFont="1" applyFill="1" applyBorder="1"/>
    <xf numFmtId="164" fontId="12" fillId="0" borderId="0" xfId="21" applyNumberFormat="1" applyFont="1" applyFill="1" applyBorder="1"/>
    <xf numFmtId="43" fontId="12" fillId="0" borderId="0" xfId="1" applyFont="1" applyFill="1" applyBorder="1"/>
    <xf numFmtId="4" fontId="12" fillId="0" borderId="0" xfId="0" applyNumberFormat="1" applyFont="1" applyBorder="1"/>
    <xf numFmtId="164" fontId="12" fillId="0" borderId="0" xfId="21" applyNumberFormat="1" applyFont="1" applyBorder="1"/>
    <xf numFmtId="4" fontId="12" fillId="0" borderId="0" xfId="0" applyNumberFormat="1" applyFont="1" applyFill="1" applyBorder="1"/>
    <xf numFmtId="0" fontId="12" fillId="0" borderId="0" xfId="13" applyFont="1"/>
    <xf numFmtId="0" fontId="13" fillId="0" borderId="0" xfId="0" applyFont="1" applyBorder="1"/>
    <xf numFmtId="43" fontId="13" fillId="5" borderId="0" xfId="1" applyFont="1" applyFill="1"/>
    <xf numFmtId="43" fontId="12" fillId="0" borderId="0" xfId="2" applyFont="1" applyFill="1"/>
    <xf numFmtId="43" fontId="13" fillId="0" borderId="0" xfId="0" applyNumberFormat="1" applyFont="1"/>
    <xf numFmtId="0" fontId="19" fillId="0" borderId="0" xfId="0" applyFont="1" applyFill="1"/>
    <xf numFmtId="43" fontId="2" fillId="6" borderId="0" xfId="2" applyFont="1" applyFill="1" applyBorder="1"/>
    <xf numFmtId="0" fontId="5" fillId="0" borderId="0" xfId="0" applyFont="1" applyBorder="1" applyAlignment="1"/>
    <xf numFmtId="43" fontId="2" fillId="6" borderId="0" xfId="7" applyFont="1" applyFill="1"/>
    <xf numFmtId="43" fontId="12" fillId="0" borderId="0" xfId="0" applyNumberFormat="1" applyFont="1" applyFill="1"/>
    <xf numFmtId="4" fontId="13" fillId="0" borderId="0" xfId="0" applyNumberFormat="1" applyFont="1" applyFill="1"/>
    <xf numFmtId="0" fontId="12" fillId="0" borderId="0" xfId="0" applyFont="1" applyFill="1" applyAlignment="1">
      <alignment horizontal="right"/>
    </xf>
    <xf numFmtId="0" fontId="13" fillId="5" borderId="0" xfId="0" applyFont="1" applyFill="1" applyBorder="1"/>
    <xf numFmtId="0" fontId="13" fillId="5" borderId="0" xfId="0" applyFont="1" applyFill="1" applyBorder="1" applyAlignment="1"/>
    <xf numFmtId="43" fontId="13" fillId="5" borderId="0" xfId="1" applyFont="1" applyFill="1" applyBorder="1"/>
    <xf numFmtId="43" fontId="13" fillId="5" borderId="5" xfId="1" applyFont="1" applyFill="1" applyBorder="1"/>
    <xf numFmtId="0" fontId="13" fillId="0" borderId="0" xfId="0" applyFont="1" applyAlignment="1">
      <alignment horizontal="left"/>
    </xf>
    <xf numFmtId="43" fontId="13" fillId="0" borderId="0" xfId="0" applyNumberFormat="1" applyFont="1" applyBorder="1"/>
    <xf numFmtId="164" fontId="12" fillId="0" borderId="0" xfId="0" applyNumberFormat="1" applyFont="1"/>
    <xf numFmtId="43" fontId="13" fillId="0" borderId="0" xfId="2" applyFont="1" applyFill="1" applyBorder="1"/>
    <xf numFmtId="171" fontId="12" fillId="0" borderId="0" xfId="21" applyNumberFormat="1" applyFont="1" applyFill="1"/>
    <xf numFmtId="0" fontId="21" fillId="6" borderId="0" xfId="0" applyFont="1" applyFill="1"/>
    <xf numFmtId="43" fontId="12" fillId="6" borderId="21" xfId="1" applyFont="1" applyFill="1" applyBorder="1"/>
    <xf numFmtId="164" fontId="12" fillId="0" borderId="21" xfId="21" applyNumberFormat="1" applyFont="1" applyBorder="1"/>
    <xf numFmtId="0" fontId="12" fillId="6" borderId="21" xfId="0" applyFont="1" applyFill="1" applyBorder="1"/>
    <xf numFmtId="0" fontId="2" fillId="6" borderId="0" xfId="0" applyFont="1" applyFill="1"/>
    <xf numFmtId="0" fontId="12" fillId="0" borderId="0" xfId="0" applyFont="1"/>
    <xf numFmtId="43" fontId="12" fillId="0" borderId="0" xfId="1" applyFont="1"/>
    <xf numFmtId="43" fontId="12" fillId="6" borderId="0" xfId="1" applyFont="1" applyFill="1"/>
    <xf numFmtId="43" fontId="2" fillId="6" borderId="0" xfId="1" applyFont="1" applyFill="1"/>
    <xf numFmtId="164" fontId="13" fillId="5" borderId="0" xfId="21" applyNumberFormat="1" applyFont="1" applyFill="1"/>
    <xf numFmtId="0" fontId="12" fillId="6" borderId="0" xfId="0" applyFont="1" applyFill="1"/>
    <xf numFmtId="0" fontId="23" fillId="6" borderId="0" xfId="0" applyFont="1" applyFill="1"/>
    <xf numFmtId="0" fontId="6" fillId="0" borderId="0" xfId="18" applyFont="1" applyAlignment="1">
      <alignment horizontal="center"/>
    </xf>
    <xf numFmtId="43" fontId="5" fillId="4" borderId="0" xfId="8" applyFont="1" applyFill="1"/>
    <xf numFmtId="43" fontId="0" fillId="4" borderId="0" xfId="0" applyNumberFormat="1" applyFill="1"/>
    <xf numFmtId="0" fontId="24" fillId="0" borderId="0" xfId="0" applyFont="1"/>
    <xf numFmtId="43" fontId="24" fillId="0" borderId="0" xfId="0" applyNumberFormat="1" applyFont="1"/>
    <xf numFmtId="0" fontId="25" fillId="6" borderId="0" xfId="0" applyFont="1" applyFill="1"/>
    <xf numFmtId="0" fontId="12" fillId="0" borderId="0" xfId="0" quotePrefix="1" applyFont="1" applyFill="1"/>
    <xf numFmtId="0" fontId="12" fillId="0" borderId="0" xfId="13" quotePrefix="1" applyFont="1" applyFill="1"/>
    <xf numFmtId="0" fontId="12" fillId="0" borderId="0" xfId="13" applyFont="1" applyFill="1"/>
    <xf numFmtId="0" fontId="13" fillId="0" borderId="0" xfId="0" applyFont="1" applyAlignment="1">
      <alignment horizontal="center" wrapText="1"/>
    </xf>
    <xf numFmtId="169" fontId="5" fillId="0" borderId="0" xfId="18" applyNumberFormat="1" applyFont="1" applyAlignment="1">
      <alignment horizontal="center"/>
    </xf>
    <xf numFmtId="43" fontId="10" fillId="0" borderId="0" xfId="8" applyFont="1" applyBorder="1"/>
    <xf numFmtId="43" fontId="10" fillId="0" borderId="0" xfId="8" applyFont="1" applyBorder="1" applyAlignment="1">
      <alignment horizontal="center"/>
    </xf>
    <xf numFmtId="43" fontId="14" fillId="13" borderId="0" xfId="1" applyFont="1" applyFill="1" applyAlignment="1">
      <alignment horizontal="center"/>
    </xf>
    <xf numFmtId="43" fontId="12" fillId="5" borderId="0" xfId="0" applyNumberFormat="1" applyFont="1" applyFill="1" applyBorder="1"/>
    <xf numFmtId="0" fontId="21" fillId="0" borderId="0" xfId="0" applyFont="1" applyAlignment="1">
      <alignment horizontal="center"/>
    </xf>
    <xf numFmtId="44" fontId="12" fillId="10" borderId="0" xfId="11" applyFont="1" applyFill="1"/>
    <xf numFmtId="44" fontId="13" fillId="6" borderId="0" xfId="9" applyFont="1" applyFill="1"/>
    <xf numFmtId="0" fontId="30" fillId="6" borderId="0" xfId="0" applyFont="1" applyFill="1"/>
    <xf numFmtId="0" fontId="30" fillId="0" borderId="0" xfId="0" applyFont="1" applyAlignment="1">
      <alignment wrapText="1"/>
    </xf>
    <xf numFmtId="172" fontId="14" fillId="0" borderId="0" xfId="0" applyNumberFormat="1" applyFont="1" applyAlignment="1">
      <alignment horizontal="center"/>
    </xf>
    <xf numFmtId="0" fontId="30" fillId="0" borderId="0" xfId="0" applyFont="1"/>
    <xf numFmtId="0" fontId="14" fillId="13" borderId="0" xfId="0" applyFont="1" applyFill="1"/>
    <xf numFmtId="165" fontId="14" fillId="13" borderId="0" xfId="1" applyNumberFormat="1" applyFont="1" applyFill="1"/>
    <xf numFmtId="165" fontId="14" fillId="13" borderId="4" xfId="1" applyNumberFormat="1" applyFont="1" applyFill="1" applyBorder="1"/>
    <xf numFmtId="165" fontId="14" fillId="13" borderId="5" xfId="1" applyNumberFormat="1" applyFont="1" applyFill="1" applyBorder="1"/>
    <xf numFmtId="165" fontId="14" fillId="13" borderId="0" xfId="0" applyNumberFormat="1" applyFont="1" applyFill="1"/>
    <xf numFmtId="172" fontId="14" fillId="13" borderId="0" xfId="0" applyNumberFormat="1" applyFont="1" applyFill="1" applyAlignment="1">
      <alignment horizontal="center"/>
    </xf>
    <xf numFmtId="0" fontId="31" fillId="6" borderId="0" xfId="0" applyFont="1" applyFill="1"/>
    <xf numFmtId="0" fontId="13" fillId="5" borderId="0" xfId="0" quotePrefix="1" applyFont="1" applyFill="1"/>
    <xf numFmtId="0" fontId="12" fillId="6" borderId="2" xfId="0" applyFont="1" applyFill="1" applyBorder="1" applyAlignment="1">
      <alignment horizontal="center"/>
    </xf>
    <xf numFmtId="0" fontId="12" fillId="0" borderId="2"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9" fillId="0" borderId="0" xfId="0" applyFont="1"/>
    <xf numFmtId="0" fontId="19" fillId="0" borderId="2" xfId="0" applyFont="1" applyBorder="1" applyAlignment="1">
      <alignment horizontal="center"/>
    </xf>
    <xf numFmtId="0" fontId="19" fillId="0" borderId="11" xfId="0" applyFont="1" applyBorder="1" applyAlignment="1">
      <alignment horizontal="center"/>
    </xf>
    <xf numFmtId="0" fontId="12" fillId="0" borderId="0" xfId="0" quotePrefix="1" applyFont="1" applyAlignment="1">
      <alignment horizontal="left"/>
    </xf>
    <xf numFmtId="0" fontId="13" fillId="0" borderId="2" xfId="0" applyFont="1" applyBorder="1" applyAlignment="1">
      <alignment horizontal="center"/>
    </xf>
    <xf numFmtId="164" fontId="12" fillId="0" borderId="0" xfId="21" applyNumberFormat="1" applyFont="1" applyAlignment="1">
      <alignment horizontal="center"/>
    </xf>
    <xf numFmtId="10" fontId="13" fillId="16" borderId="0" xfId="21" applyNumberFormat="1" applyFont="1" applyFill="1"/>
    <xf numFmtId="10" fontId="13" fillId="16" borderId="0" xfId="21" applyNumberFormat="1" applyFont="1" applyFill="1" applyAlignment="1">
      <alignment horizontal="center"/>
    </xf>
    <xf numFmtId="0" fontId="12" fillId="0" borderId="14" xfId="0" applyFont="1" applyBorder="1" applyAlignment="1">
      <alignment horizontal="left"/>
    </xf>
    <xf numFmtId="0" fontId="12" fillId="0" borderId="0" xfId="0" applyFont="1"/>
    <xf numFmtId="43" fontId="12" fillId="0" borderId="0" xfId="1" applyFont="1" applyFill="1"/>
    <xf numFmtId="0" fontId="12" fillId="0" borderId="0" xfId="0" applyFont="1" applyFill="1"/>
    <xf numFmtId="0" fontId="12" fillId="0" borderId="0" xfId="0" quotePrefix="1" applyFont="1"/>
    <xf numFmtId="43" fontId="12" fillId="0" borderId="0" xfId="1" applyFont="1"/>
    <xf numFmtId="164" fontId="12" fillId="0" borderId="0" xfId="21" applyNumberFormat="1" applyFont="1"/>
    <xf numFmtId="0" fontId="12" fillId="6" borderId="0" xfId="0" applyFont="1" applyFill="1"/>
    <xf numFmtId="43" fontId="12" fillId="0" borderId="0" xfId="2" applyFont="1" applyFill="1"/>
    <xf numFmtId="0" fontId="13" fillId="8" borderId="0" xfId="0" applyFont="1" applyFill="1"/>
    <xf numFmtId="43" fontId="13" fillId="8" borderId="3" xfId="2" applyFont="1" applyFill="1" applyBorder="1"/>
    <xf numFmtId="164" fontId="12" fillId="8" borderId="0" xfId="21" applyNumberFormat="1" applyFont="1" applyFill="1"/>
    <xf numFmtId="164" fontId="13" fillId="8" borderId="0" xfId="21" applyNumberFormat="1" applyFont="1" applyFill="1"/>
    <xf numFmtId="43" fontId="13" fillId="8" borderId="3" xfId="1" applyFont="1" applyFill="1" applyBorder="1"/>
    <xf numFmtId="0" fontId="13" fillId="13" borderId="0" xfId="0" applyFont="1" applyFill="1"/>
    <xf numFmtId="43" fontId="13" fillId="13" borderId="3" xfId="2" applyFont="1" applyFill="1" applyBorder="1"/>
    <xf numFmtId="164" fontId="12" fillId="13" borderId="0" xfId="21" applyNumberFormat="1" applyFont="1" applyFill="1"/>
    <xf numFmtId="43" fontId="13" fillId="13" borderId="3" xfId="1" applyFont="1" applyFill="1" applyBorder="1"/>
    <xf numFmtId="0" fontId="13" fillId="11" borderId="0" xfId="0" applyFont="1" applyFill="1"/>
    <xf numFmtId="0" fontId="13" fillId="11" borderId="0" xfId="0" applyFont="1" applyFill="1" applyAlignment="1">
      <alignment horizontal="left"/>
    </xf>
    <xf numFmtId="43" fontId="13" fillId="11" borderId="3" xfId="2" applyFont="1" applyFill="1" applyBorder="1"/>
    <xf numFmtId="164" fontId="13" fillId="11" borderId="0" xfId="21" applyNumberFormat="1" applyFont="1" applyFill="1"/>
    <xf numFmtId="43" fontId="13" fillId="11" borderId="3" xfId="1" applyFont="1" applyFill="1" applyBorder="1"/>
    <xf numFmtId="0" fontId="13" fillId="11" borderId="0" xfId="0" applyFont="1" applyFill="1" applyAlignment="1">
      <alignment horizontal="right"/>
    </xf>
    <xf numFmtId="43" fontId="12" fillId="17" borderId="0" xfId="1" applyFont="1" applyFill="1"/>
    <xf numFmtId="43" fontId="12" fillId="0" borderId="9" xfId="1" applyFont="1" applyFill="1" applyBorder="1" applyAlignment="1">
      <alignment horizontal="left"/>
    </xf>
    <xf numFmtId="4" fontId="12" fillId="0" borderId="15" xfId="0" applyNumberFormat="1" applyFont="1" applyBorder="1"/>
    <xf numFmtId="0" fontId="12" fillId="0" borderId="4" xfId="0" applyFont="1" applyBorder="1"/>
    <xf numFmtId="0" fontId="24" fillId="0" borderId="0" xfId="0" applyFont="1" applyAlignment="1">
      <alignment horizontal="center"/>
    </xf>
    <xf numFmtId="4" fontId="13" fillId="0" borderId="10" xfId="0" applyNumberFormat="1" applyFont="1" applyBorder="1"/>
    <xf numFmtId="4" fontId="13" fillId="0" borderId="22" xfId="0" applyNumberFormat="1" applyFont="1" applyBorder="1"/>
    <xf numFmtId="0" fontId="12" fillId="0" borderId="23" xfId="0" applyFont="1" applyBorder="1"/>
    <xf numFmtId="0" fontId="12" fillId="0" borderId="24" xfId="0" applyFont="1" applyBorder="1"/>
    <xf numFmtId="0" fontId="12" fillId="0" borderId="14" xfId="0" applyFont="1" applyBorder="1"/>
    <xf numFmtId="4" fontId="27" fillId="0" borderId="15" xfId="0" applyNumberFormat="1" applyFont="1" applyBorder="1" applyAlignment="1">
      <alignment horizontal="center"/>
    </xf>
    <xf numFmtId="43" fontId="12" fillId="0" borderId="0" xfId="1" applyFont="1"/>
    <xf numFmtId="0" fontId="12" fillId="6" borderId="0" xfId="0" applyFont="1" applyFill="1"/>
    <xf numFmtId="164" fontId="13" fillId="13" borderId="0" xfId="21" applyNumberFormat="1" applyFont="1" applyFill="1"/>
    <xf numFmtId="0" fontId="12" fillId="18" borderId="0" xfId="0" applyFont="1" applyFill="1"/>
    <xf numFmtId="0" fontId="5" fillId="19" borderId="0" xfId="18" applyFont="1" applyFill="1"/>
    <xf numFmtId="43" fontId="5" fillId="19" borderId="0" xfId="8" applyFont="1" applyFill="1"/>
    <xf numFmtId="9" fontId="5" fillId="19" borderId="0" xfId="25" applyFont="1" applyFill="1"/>
    <xf numFmtId="0" fontId="5" fillId="19" borderId="0" xfId="15" applyFont="1" applyFill="1"/>
    <xf numFmtId="43" fontId="0" fillId="19" borderId="0" xfId="0" applyNumberFormat="1" applyFill="1"/>
    <xf numFmtId="43" fontId="24" fillId="19" borderId="0" xfId="0" applyNumberFormat="1" applyFont="1" applyFill="1"/>
    <xf numFmtId="0" fontId="0" fillId="19" borderId="0" xfId="0" applyFill="1"/>
    <xf numFmtId="0" fontId="0" fillId="0" borderId="0" xfId="0" applyFill="1"/>
    <xf numFmtId="0" fontId="5" fillId="4" borderId="0" xfId="20" applyFont="1" applyFill="1"/>
    <xf numFmtId="43" fontId="6" fillId="4" borderId="5" xfId="8" applyFont="1" applyFill="1" applyBorder="1"/>
    <xf numFmtId="0" fontId="2" fillId="4" borderId="0" xfId="19" applyFont="1" applyFill="1"/>
    <xf numFmtId="0" fontId="5" fillId="4" borderId="0" xfId="15" applyFont="1" applyFill="1"/>
    <xf numFmtId="0" fontId="0" fillId="4" borderId="0" xfId="0" applyFill="1"/>
    <xf numFmtId="0" fontId="6" fillId="4" borderId="0" xfId="20" applyFont="1" applyFill="1"/>
    <xf numFmtId="43" fontId="6" fillId="0" borderId="0" xfId="8" applyFont="1" applyFill="1" applyBorder="1"/>
    <xf numFmtId="0" fontId="5" fillId="0" borderId="0" xfId="15" applyFont="1" applyBorder="1"/>
    <xf numFmtId="0" fontId="6" fillId="0" borderId="0" xfId="20" applyFont="1" applyFill="1"/>
    <xf numFmtId="0" fontId="12" fillId="0" borderId="25" xfId="0" applyFont="1" applyBorder="1"/>
    <xf numFmtId="4" fontId="13" fillId="0" borderId="0" xfId="0" applyNumberFormat="1" applyFont="1" applyBorder="1"/>
    <xf numFmtId="0" fontId="12" fillId="0" borderId="0" xfId="0" applyFont="1" applyBorder="1" applyAlignment="1">
      <alignment horizontal="left"/>
    </xf>
    <xf numFmtId="4" fontId="27" fillId="0" borderId="0" xfId="0" applyNumberFormat="1" applyFont="1" applyBorder="1" applyAlignment="1">
      <alignment horizontal="center"/>
    </xf>
    <xf numFmtId="43" fontId="12" fillId="0" borderId="0" xfId="1" applyFont="1" applyFill="1" applyBorder="1" applyAlignment="1">
      <alignment horizontal="left"/>
    </xf>
    <xf numFmtId="0" fontId="12" fillId="0" borderId="0" xfId="0" applyFont="1" applyAlignment="1">
      <alignment horizontal="right"/>
    </xf>
    <xf numFmtId="0" fontId="13" fillId="0" borderId="0" xfId="0" applyFont="1" applyAlignment="1">
      <alignment horizontal="right"/>
    </xf>
    <xf numFmtId="44" fontId="12" fillId="0" borderId="0" xfId="9" applyFont="1" applyAlignment="1">
      <alignment horizontal="center"/>
    </xf>
    <xf numFmtId="0" fontId="26" fillId="0" borderId="0" xfId="0" applyFont="1" applyAlignment="1">
      <alignment horizontal="right"/>
    </xf>
    <xf numFmtId="0" fontId="32" fillId="0" borderId="0" xfId="13" applyFont="1" applyAlignment="1">
      <alignment horizontal="right"/>
    </xf>
    <xf numFmtId="43" fontId="32" fillId="0" borderId="0" xfId="26" applyFont="1"/>
    <xf numFmtId="10" fontId="5" fillId="7" borderId="0" xfId="21" applyNumberFormat="1" applyFont="1" applyFill="1"/>
    <xf numFmtId="0" fontId="13" fillId="8" borderId="0" xfId="0" applyFont="1" applyFill="1" applyAlignment="1">
      <alignment horizontal="right"/>
    </xf>
    <xf numFmtId="43" fontId="33" fillId="0" borderId="0" xfId="1" applyFont="1" applyFill="1"/>
    <xf numFmtId="0" fontId="23" fillId="6" borderId="21" xfId="0" applyFont="1" applyFill="1" applyBorder="1"/>
    <xf numFmtId="10" fontId="12" fillId="0" borderId="0" xfId="21" applyNumberFormat="1" applyFont="1" applyFill="1"/>
    <xf numFmtId="10" fontId="6" fillId="5" borderId="0" xfId="21" applyNumberFormat="1" applyFont="1" applyFill="1"/>
    <xf numFmtId="10" fontId="6" fillId="0" borderId="0" xfId="21" applyNumberFormat="1" applyFont="1" applyFill="1"/>
    <xf numFmtId="0" fontId="31" fillId="0" borderId="0" xfId="0" applyFont="1" applyAlignment="1">
      <alignment horizontal="center"/>
    </xf>
    <xf numFmtId="43" fontId="0" fillId="25" borderId="0" xfId="0" applyNumberFormat="1" applyFill="1"/>
    <xf numFmtId="0" fontId="24" fillId="0" borderId="0" xfId="0" applyFont="1" applyAlignment="1">
      <alignment horizontal="right"/>
    </xf>
    <xf numFmtId="0" fontId="33" fillId="6" borderId="0" xfId="0" applyFont="1" applyFill="1"/>
    <xf numFmtId="0" fontId="12" fillId="6" borderId="0" xfId="0" applyFont="1" applyFill="1"/>
    <xf numFmtId="0" fontId="12" fillId="6" borderId="21" xfId="0" applyFont="1" applyFill="1" applyBorder="1"/>
    <xf numFmtId="43" fontId="0" fillId="0" borderId="0" xfId="0" applyNumberFormat="1" applyFill="1"/>
    <xf numFmtId="43" fontId="2" fillId="6" borderId="0" xfId="1" applyFont="1" applyFill="1"/>
    <xf numFmtId="0" fontId="2" fillId="6" borderId="0" xfId="0" applyFont="1" applyFill="1"/>
    <xf numFmtId="43" fontId="12" fillId="4" borderId="0" xfId="2" applyFont="1" applyFill="1"/>
    <xf numFmtId="43" fontId="12" fillId="4" borderId="0" xfId="1" applyFont="1" applyFill="1"/>
    <xf numFmtId="0" fontId="6" fillId="0" borderId="0" xfId="18" applyFont="1" applyAlignment="1">
      <alignment horizontal="center"/>
    </xf>
    <xf numFmtId="43" fontId="0" fillId="0" borderId="0" xfId="0" applyNumberFormat="1" applyAlignment="1">
      <alignment horizontal="right"/>
    </xf>
    <xf numFmtId="0" fontId="12" fillId="19" borderId="14" xfId="0" applyFont="1" applyFill="1" applyBorder="1" applyAlignment="1">
      <alignment horizontal="left"/>
    </xf>
    <xf numFmtId="0" fontId="12" fillId="19" borderId="0" xfId="0" applyFont="1" applyFill="1" applyBorder="1"/>
    <xf numFmtId="44" fontId="12" fillId="0" borderId="15" xfId="9" applyFont="1" applyBorder="1"/>
    <xf numFmtId="44" fontId="27" fillId="0" borderId="15" xfId="9" applyFont="1" applyBorder="1" applyAlignment="1">
      <alignment horizontal="center"/>
    </xf>
    <xf numFmtId="44" fontId="13" fillId="0" borderId="10" xfId="9" applyFont="1" applyBorder="1"/>
    <xf numFmtId="44" fontId="27" fillId="0" borderId="15" xfId="9" applyFont="1" applyBorder="1"/>
    <xf numFmtId="44" fontId="27" fillId="19" borderId="15" xfId="9" applyFont="1" applyFill="1" applyBorder="1"/>
    <xf numFmtId="44" fontId="12" fillId="0" borderId="15" xfId="9" applyFont="1" applyBorder="1" applyAlignment="1">
      <alignment horizontal="right"/>
    </xf>
    <xf numFmtId="44" fontId="27" fillId="0" borderId="15" xfId="9" applyFont="1" applyBorder="1" applyAlignment="1">
      <alignment horizontal="right"/>
    </xf>
    <xf numFmtId="44" fontId="13" fillId="0" borderId="26" xfId="9" applyFont="1" applyBorder="1"/>
    <xf numFmtId="4" fontId="12" fillId="4" borderId="0" xfId="0" applyNumberFormat="1" applyFont="1" applyFill="1"/>
    <xf numFmtId="0" fontId="18" fillId="0" borderId="0" xfId="0" applyFont="1" applyAlignment="1">
      <alignment horizontal="right"/>
    </xf>
    <xf numFmtId="0" fontId="12" fillId="0" borderId="0" xfId="0" quotePrefix="1" applyFont="1" applyAlignment="1">
      <alignment horizontal="right"/>
    </xf>
    <xf numFmtId="0" fontId="13" fillId="13" borderId="0" xfId="0" applyFont="1" applyFill="1" applyAlignment="1">
      <alignment horizontal="right"/>
    </xf>
    <xf numFmtId="43" fontId="35" fillId="5" borderId="0" xfId="1" applyFont="1" applyFill="1"/>
    <xf numFmtId="43" fontId="5" fillId="0" borderId="0" xfId="1" applyFont="1"/>
    <xf numFmtId="0" fontId="36" fillId="10" borderId="0" xfId="14" applyFont="1" applyFill="1" applyAlignment="1">
      <alignment horizontal="right"/>
    </xf>
    <xf numFmtId="0" fontId="6" fillId="6" borderId="0" xfId="14" applyFont="1" applyFill="1" applyAlignment="1">
      <alignment horizontal="right"/>
    </xf>
    <xf numFmtId="4" fontId="23" fillId="4" borderId="0" xfId="0" applyNumberFormat="1" applyFont="1" applyFill="1"/>
    <xf numFmtId="44" fontId="12" fillId="4" borderId="0" xfId="11" applyFont="1" applyFill="1"/>
    <xf numFmtId="0" fontId="13" fillId="27" borderId="0" xfId="0" applyFont="1" applyFill="1" applyAlignment="1">
      <alignment horizontal="right"/>
    </xf>
    <xf numFmtId="0" fontId="6" fillId="6" borderId="9" xfId="14" applyNumberFormat="1" applyFont="1" applyFill="1" applyBorder="1" applyAlignment="1">
      <alignment horizontal="center" wrapText="1"/>
    </xf>
    <xf numFmtId="0" fontId="13" fillId="0" borderId="2" xfId="0" applyFont="1" applyBorder="1" applyAlignment="1">
      <alignment horizontal="center"/>
    </xf>
    <xf numFmtId="43" fontId="13" fillId="4" borderId="0" xfId="1" applyFont="1" applyFill="1"/>
    <xf numFmtId="43" fontId="12" fillId="28" borderId="0" xfId="1" applyFont="1" applyFill="1"/>
    <xf numFmtId="4" fontId="13" fillId="28" borderId="22" xfId="0" applyNumberFormat="1" applyFont="1" applyFill="1" applyBorder="1"/>
    <xf numFmtId="0" fontId="12" fillId="28" borderId="24" xfId="0" applyFont="1" applyFill="1" applyBorder="1"/>
    <xf numFmtId="0" fontId="42" fillId="6" borderId="0" xfId="0" applyFont="1" applyFill="1"/>
    <xf numFmtId="0" fontId="34" fillId="6" borderId="21" xfId="0" applyFont="1" applyFill="1" applyBorder="1"/>
    <xf numFmtId="44" fontId="5" fillId="5" borderId="0" xfId="9" applyFont="1" applyFill="1"/>
    <xf numFmtId="0" fontId="5" fillId="5" borderId="0" xfId="14" applyFont="1" applyFill="1" applyAlignment="1">
      <alignment horizontal="right"/>
    </xf>
    <xf numFmtId="44" fontId="37" fillId="5" borderId="0" xfId="9" applyFont="1" applyFill="1"/>
    <xf numFmtId="44" fontId="6" fillId="5" borderId="0" xfId="9" applyFont="1" applyFill="1"/>
    <xf numFmtId="43" fontId="10" fillId="5" borderId="0" xfId="1" applyFont="1" applyFill="1"/>
    <xf numFmtId="44" fontId="5" fillId="5" borderId="0" xfId="14" applyNumberFormat="1" applyFont="1" applyFill="1"/>
    <xf numFmtId="43" fontId="37" fillId="0" borderId="0" xfId="1" applyFont="1"/>
    <xf numFmtId="0" fontId="43" fillId="0" borderId="0" xfId="14" applyFont="1"/>
    <xf numFmtId="44" fontId="43" fillId="0" borderId="0" xfId="14" applyNumberFormat="1" applyFont="1"/>
    <xf numFmtId="44" fontId="6" fillId="0" borderId="0" xfId="14" applyNumberFormat="1" applyFont="1"/>
    <xf numFmtId="0" fontId="6" fillId="0" borderId="0" xfId="18" applyFont="1" applyAlignment="1">
      <alignment horizontal="center"/>
    </xf>
    <xf numFmtId="0" fontId="5" fillId="4" borderId="0" xfId="18" applyFont="1" applyFill="1"/>
    <xf numFmtId="0" fontId="6" fillId="0" borderId="0" xfId="18" applyFont="1" applyAlignment="1"/>
    <xf numFmtId="43" fontId="12" fillId="29" borderId="0" xfId="1" applyFont="1" applyFill="1"/>
    <xf numFmtId="43" fontId="12" fillId="29" borderId="0" xfId="2" applyFont="1" applyFill="1"/>
    <xf numFmtId="0" fontId="12" fillId="29" borderId="0" xfId="0" applyFont="1" applyFill="1"/>
    <xf numFmtId="165" fontId="30" fillId="0" borderId="5" xfId="0" applyNumberFormat="1" applyFont="1" applyBorder="1"/>
    <xf numFmtId="165" fontId="30" fillId="13" borderId="5" xfId="0" applyNumberFormat="1" applyFont="1" applyFill="1" applyBorder="1"/>
    <xf numFmtId="0" fontId="44" fillId="0" borderId="0" xfId="0" applyFont="1"/>
    <xf numFmtId="0" fontId="45" fillId="0" borderId="0" xfId="0" applyFont="1"/>
    <xf numFmtId="14" fontId="16" fillId="30" borderId="0" xfId="0" applyNumberFormat="1" applyFont="1" applyFill="1" applyAlignment="1">
      <alignment horizontal="center"/>
    </xf>
    <xf numFmtId="44" fontId="13" fillId="0" borderId="0" xfId="9" applyFont="1" applyBorder="1"/>
    <xf numFmtId="43" fontId="12" fillId="22" borderId="0" xfId="1" applyFont="1" applyFill="1"/>
    <xf numFmtId="0" fontId="12" fillId="22" borderId="0" xfId="0" applyFont="1" applyFill="1"/>
    <xf numFmtId="0" fontId="38" fillId="0" borderId="0" xfId="14" applyFont="1" applyBorder="1" applyAlignment="1"/>
    <xf numFmtId="0" fontId="46" fillId="0" borderId="0" xfId="14" applyFont="1" applyAlignment="1">
      <alignment horizontal="right"/>
    </xf>
    <xf numFmtId="44" fontId="6" fillId="5" borderId="22" xfId="11" applyFont="1" applyFill="1" applyBorder="1"/>
    <xf numFmtId="44" fontId="6" fillId="6" borderId="23" xfId="11" applyFont="1" applyFill="1" applyBorder="1"/>
    <xf numFmtId="44" fontId="6" fillId="5" borderId="23" xfId="11" applyFont="1" applyFill="1" applyBorder="1"/>
    <xf numFmtId="164" fontId="13" fillId="5" borderId="24" xfId="21" applyNumberFormat="1" applyFont="1" applyFill="1" applyBorder="1"/>
    <xf numFmtId="44" fontId="5" fillId="10" borderId="14" xfId="21" applyNumberFormat="1" applyFont="1" applyFill="1" applyBorder="1"/>
    <xf numFmtId="44" fontId="12" fillId="10" borderId="0" xfId="11" applyFont="1" applyFill="1" applyBorder="1"/>
    <xf numFmtId="0" fontId="5" fillId="0" borderId="0" xfId="14" applyFont="1" applyBorder="1"/>
    <xf numFmtId="0" fontId="5" fillId="0" borderId="15" xfId="14" applyFont="1" applyBorder="1"/>
    <xf numFmtId="44" fontId="13" fillId="6" borderId="9" xfId="9" applyFont="1" applyFill="1" applyBorder="1"/>
    <xf numFmtId="44" fontId="13" fillId="6" borderId="28" xfId="9" applyFont="1" applyFill="1" applyBorder="1"/>
    <xf numFmtId="43" fontId="12" fillId="0" borderId="28" xfId="5" applyFont="1" applyBorder="1"/>
    <xf numFmtId="164" fontId="13" fillId="5" borderId="29" xfId="21" applyNumberFormat="1" applyFont="1" applyFill="1" applyBorder="1"/>
    <xf numFmtId="44" fontId="6" fillId="6" borderId="22" xfId="11" applyFont="1" applyFill="1" applyBorder="1"/>
    <xf numFmtId="10" fontId="13" fillId="16" borderId="23" xfId="21" applyNumberFormat="1" applyFont="1" applyFill="1" applyBorder="1" applyAlignment="1">
      <alignment horizontal="center"/>
    </xf>
    <xf numFmtId="10" fontId="13" fillId="16" borderId="24" xfId="21" applyNumberFormat="1" applyFont="1" applyFill="1" applyBorder="1" applyAlignment="1">
      <alignment horizontal="center"/>
    </xf>
    <xf numFmtId="44" fontId="10" fillId="0" borderId="0" xfId="14" applyNumberFormat="1" applyFont="1" applyBorder="1"/>
    <xf numFmtId="44" fontId="13" fillId="6" borderId="30" xfId="9" applyFont="1" applyFill="1" applyBorder="1"/>
    <xf numFmtId="0" fontId="5" fillId="0" borderId="28" xfId="14" applyFont="1" applyBorder="1"/>
    <xf numFmtId="0" fontId="5" fillId="0" borderId="29" xfId="14" applyFont="1" applyBorder="1"/>
    <xf numFmtId="0" fontId="31" fillId="0" borderId="0" xfId="0" quotePrefix="1" applyFont="1" applyAlignment="1">
      <alignment horizontal="left"/>
    </xf>
    <xf numFmtId="43" fontId="12" fillId="19" borderId="0" xfId="1" applyFont="1" applyFill="1"/>
    <xf numFmtId="43" fontId="12" fillId="19" borderId="0" xfId="0" applyNumberFormat="1" applyFont="1" applyFill="1"/>
    <xf numFmtId="10" fontId="12" fillId="19" borderId="0" xfId="21" applyNumberFormat="1" applyFont="1" applyFill="1"/>
    <xf numFmtId="9" fontId="5" fillId="7" borderId="0" xfId="21" applyFont="1" applyFill="1"/>
    <xf numFmtId="0" fontId="12" fillId="0" borderId="0" xfId="0" applyFont="1" applyFill="1" applyAlignment="1">
      <alignment horizontal="center"/>
    </xf>
    <xf numFmtId="0" fontId="12" fillId="19" borderId="2" xfId="0" applyFont="1" applyFill="1" applyBorder="1" applyAlignment="1">
      <alignment horizontal="center" wrapText="1"/>
    </xf>
    <xf numFmtId="43" fontId="13" fillId="19" borderId="3" xfId="2" applyFont="1" applyFill="1" applyBorder="1"/>
    <xf numFmtId="0" fontId="12" fillId="31" borderId="2" xfId="0" applyFont="1" applyFill="1" applyBorder="1" applyAlignment="1">
      <alignment horizontal="center" wrapText="1"/>
    </xf>
    <xf numFmtId="43" fontId="12" fillId="31" borderId="0" xfId="1" applyFont="1" applyFill="1"/>
    <xf numFmtId="43" fontId="13" fillId="31" borderId="3" xfId="1" applyFont="1" applyFill="1" applyBorder="1"/>
    <xf numFmtId="43" fontId="13" fillId="31" borderId="3" xfId="2" applyFont="1" applyFill="1" applyBorder="1"/>
    <xf numFmtId="43" fontId="2" fillId="0" borderId="0" xfId="1" applyFont="1" applyFill="1"/>
    <xf numFmtId="43" fontId="12" fillId="0" borderId="21" xfId="1" applyFont="1" applyFill="1" applyBorder="1"/>
    <xf numFmtId="10" fontId="13" fillId="13" borderId="3" xfId="21" applyNumberFormat="1" applyFont="1" applyFill="1" applyBorder="1"/>
    <xf numFmtId="0" fontId="13" fillId="0" borderId="2" xfId="0" applyFont="1" applyBorder="1" applyAlignment="1">
      <alignment horizontal="center"/>
    </xf>
    <xf numFmtId="0" fontId="12" fillId="10" borderId="0" xfId="0" applyFont="1" applyFill="1"/>
    <xf numFmtId="43" fontId="12" fillId="31" borderId="0" xfId="2" applyFont="1" applyFill="1"/>
    <xf numFmtId="0" fontId="47" fillId="30" borderId="0" xfId="0" applyFont="1" applyFill="1" applyAlignment="1">
      <alignment horizontal="center"/>
    </xf>
    <xf numFmtId="0" fontId="48" fillId="0" borderId="0" xfId="0" applyFont="1"/>
    <xf numFmtId="0" fontId="6" fillId="31" borderId="9" xfId="14" applyNumberFormat="1" applyFont="1" applyFill="1" applyBorder="1" applyAlignment="1">
      <alignment horizontal="center" wrapText="1"/>
    </xf>
    <xf numFmtId="43" fontId="12" fillId="4" borderId="21" xfId="1" applyFont="1" applyFill="1" applyBorder="1"/>
    <xf numFmtId="43" fontId="21" fillId="31" borderId="0" xfId="1" applyFont="1" applyFill="1"/>
    <xf numFmtId="0" fontId="12" fillId="0" borderId="0" xfId="0" applyFont="1"/>
    <xf numFmtId="0" fontId="12" fillId="0" borderId="0" xfId="0" quotePrefix="1" applyFont="1"/>
    <xf numFmtId="164" fontId="12" fillId="0" borderId="0" xfId="21" applyNumberFormat="1" applyFont="1"/>
    <xf numFmtId="0" fontId="12" fillId="0" borderId="0" xfId="0" applyFont="1" applyFill="1"/>
    <xf numFmtId="43" fontId="12" fillId="0" borderId="0" xfId="1" applyFont="1"/>
    <xf numFmtId="43" fontId="12" fillId="0" borderId="0" xfId="1" applyFont="1" applyFill="1"/>
    <xf numFmtId="0" fontId="12" fillId="6" borderId="0" xfId="0" applyFont="1" applyFill="1"/>
    <xf numFmtId="43" fontId="13" fillId="8" borderId="3" xfId="2" applyFont="1" applyFill="1" applyBorder="1"/>
    <xf numFmtId="43" fontId="13" fillId="11" borderId="3" xfId="2" applyFont="1" applyFill="1" applyBorder="1"/>
    <xf numFmtId="4" fontId="12" fillId="0" borderId="0" xfId="0" applyNumberFormat="1" applyFont="1"/>
    <xf numFmtId="0" fontId="12" fillId="19" borderId="0" xfId="0" applyFont="1" applyFill="1"/>
    <xf numFmtId="0" fontId="31" fillId="0" borderId="0" xfId="0" applyFont="1" applyFill="1"/>
    <xf numFmtId="0" fontId="21" fillId="6" borderId="21" xfId="0" applyFont="1" applyFill="1" applyBorder="1"/>
    <xf numFmtId="164" fontId="13" fillId="0" borderId="0" xfId="21" applyNumberFormat="1" applyFont="1" applyFill="1"/>
    <xf numFmtId="43" fontId="12" fillId="27" borderId="0" xfId="1" applyFont="1" applyFill="1"/>
    <xf numFmtId="43" fontId="12" fillId="27" borderId="0" xfId="1" applyFont="1" applyFill="1" applyBorder="1"/>
    <xf numFmtId="0" fontId="13" fillId="27" borderId="0" xfId="0" applyFont="1" applyFill="1" applyAlignment="1">
      <alignment horizontal="center" wrapText="1"/>
    </xf>
    <xf numFmtId="43" fontId="13" fillId="6" borderId="0" xfId="0" applyNumberFormat="1" applyFont="1" applyFill="1"/>
    <xf numFmtId="43" fontId="12" fillId="27" borderId="0" xfId="0" applyNumberFormat="1" applyFont="1" applyFill="1"/>
    <xf numFmtId="4" fontId="12" fillId="0" borderId="0" xfId="0" applyNumberFormat="1" applyFont="1" applyFill="1"/>
    <xf numFmtId="0" fontId="13" fillId="0" borderId="0" xfId="13" applyFont="1" applyFill="1"/>
    <xf numFmtId="43" fontId="13" fillId="0" borderId="3" xfId="2" applyFont="1" applyFill="1" applyBorder="1"/>
    <xf numFmtId="0" fontId="13" fillId="0" borderId="0" xfId="0" applyFont="1" applyFill="1" applyBorder="1"/>
    <xf numFmtId="43" fontId="13" fillId="0" borderId="0" xfId="0" applyNumberFormat="1" applyFont="1" applyFill="1"/>
    <xf numFmtId="0" fontId="12" fillId="4" borderId="0" xfId="0" quotePrefix="1" applyFont="1" applyFill="1"/>
    <xf numFmtId="0" fontId="13" fillId="0" borderId="2" xfId="0" applyFont="1" applyBorder="1" applyAlignment="1">
      <alignment horizontal="center"/>
    </xf>
    <xf numFmtId="0" fontId="12" fillId="0" borderId="0" xfId="0" applyFont="1" applyFill="1" applyAlignment="1">
      <alignment horizontal="left"/>
    </xf>
    <xf numFmtId="0" fontId="12" fillId="0" borderId="0" xfId="0" quotePrefix="1" applyFont="1" applyFill="1" applyAlignment="1">
      <alignment horizontal="left"/>
    </xf>
    <xf numFmtId="10" fontId="12" fillId="8" borderId="0" xfId="21" applyNumberFormat="1" applyFont="1" applyFill="1"/>
    <xf numFmtId="4" fontId="34" fillId="0" borderId="0" xfId="0" applyNumberFormat="1" applyFont="1"/>
    <xf numFmtId="0" fontId="6" fillId="0" borderId="4" xfId="14" applyNumberFormat="1" applyFont="1" applyFill="1" applyBorder="1" applyAlignment="1">
      <alignment horizontal="center" wrapText="1"/>
    </xf>
    <xf numFmtId="44" fontId="12" fillId="19" borderId="0" xfId="11" applyFont="1" applyFill="1"/>
    <xf numFmtId="0" fontId="6" fillId="0" borderId="31" xfId="14" applyFont="1" applyFill="1" applyBorder="1"/>
    <xf numFmtId="43" fontId="12" fillId="7" borderId="0" xfId="0" applyNumberFormat="1" applyFont="1" applyFill="1"/>
    <xf numFmtId="0" fontId="26" fillId="32" borderId="0" xfId="0" applyFont="1" applyFill="1" applyAlignment="1">
      <alignment horizontal="center" wrapText="1"/>
    </xf>
    <xf numFmtId="43" fontId="12" fillId="32" borderId="0" xfId="0" applyNumberFormat="1" applyFont="1" applyFill="1"/>
    <xf numFmtId="43" fontId="17" fillId="32" borderId="0" xfId="0" applyNumberFormat="1" applyFont="1" applyFill="1"/>
    <xf numFmtId="43" fontId="2" fillId="29" borderId="0" xfId="1" applyFont="1" applyFill="1"/>
    <xf numFmtId="0" fontId="34" fillId="29" borderId="0" xfId="0" applyFont="1" applyFill="1"/>
    <xf numFmtId="0" fontId="6" fillId="17" borderId="9" xfId="14" applyFont="1" applyFill="1" applyBorder="1" applyAlignment="1">
      <alignment horizontal="center"/>
    </xf>
    <xf numFmtId="0" fontId="6" fillId="17" borderId="4" xfId="14" applyFont="1" applyFill="1" applyBorder="1" applyAlignment="1">
      <alignment horizontal="center"/>
    </xf>
    <xf numFmtId="0" fontId="6" fillId="17" borderId="10" xfId="14" applyFont="1" applyFill="1" applyBorder="1" applyAlignment="1">
      <alignment horizontal="center" wrapText="1"/>
    </xf>
    <xf numFmtId="164" fontId="12" fillId="17" borderId="0" xfId="21" applyNumberFormat="1" applyFont="1" applyFill="1" applyAlignment="1">
      <alignment horizontal="center"/>
    </xf>
    <xf numFmtId="43" fontId="13" fillId="4" borderId="5" xfId="0" applyNumberFormat="1" applyFont="1" applyFill="1" applyBorder="1"/>
    <xf numFmtId="0" fontId="19" fillId="0" borderId="11" xfId="0" applyFont="1" applyBorder="1" applyAlignment="1">
      <alignment horizontal="center"/>
    </xf>
    <xf numFmtId="0" fontId="12" fillId="4" borderId="2" xfId="0" applyFont="1" applyFill="1" applyBorder="1" applyAlignment="1">
      <alignment horizontal="center" wrapText="1"/>
    </xf>
    <xf numFmtId="0" fontId="13" fillId="0" borderId="3" xfId="0" applyFont="1" applyBorder="1" applyAlignment="1">
      <alignment horizontal="center"/>
    </xf>
    <xf numFmtId="0" fontId="50" fillId="0" borderId="0" xfId="13" applyFont="1" applyAlignment="1">
      <alignment horizontal="right"/>
    </xf>
    <xf numFmtId="43" fontId="12" fillId="0" borderId="28" xfId="1" applyFont="1" applyFill="1" applyBorder="1" applyAlignment="1">
      <alignment horizontal="left"/>
    </xf>
    <xf numFmtId="0" fontId="13" fillId="0" borderId="0" xfId="13" applyFont="1" applyFill="1" applyBorder="1"/>
    <xf numFmtId="0" fontId="12" fillId="0" borderId="0" xfId="13" applyFont="1" applyFill="1" applyBorder="1"/>
    <xf numFmtId="0" fontId="12" fillId="0" borderId="0" xfId="0" quotePrefix="1" applyFont="1" applyFill="1" applyBorder="1"/>
    <xf numFmtId="43" fontId="12" fillId="0" borderId="0" xfId="21" applyNumberFormat="1" applyFont="1" applyFill="1" applyBorder="1"/>
    <xf numFmtId="10" fontId="12" fillId="0" borderId="0" xfId="21" applyNumberFormat="1" applyFont="1" applyFill="1" applyBorder="1"/>
    <xf numFmtId="0" fontId="13" fillId="0" borderId="2" xfId="0" applyFont="1" applyBorder="1" applyAlignment="1">
      <alignment horizontal="center"/>
    </xf>
    <xf numFmtId="164" fontId="12" fillId="0" borderId="0" xfId="21" applyNumberFormat="1" applyFont="1" applyAlignment="1"/>
    <xf numFmtId="0" fontId="12" fillId="0" borderId="0" xfId="21" applyNumberFormat="1" applyFont="1"/>
    <xf numFmtId="0" fontId="18" fillId="0" borderId="15" xfId="0" applyFont="1" applyBorder="1" applyAlignment="1">
      <alignment wrapText="1"/>
    </xf>
    <xf numFmtId="164" fontId="12" fillId="13" borderId="0" xfId="21" applyNumberFormat="1" applyFont="1" applyFill="1" applyAlignment="1">
      <alignment horizontal="center"/>
    </xf>
    <xf numFmtId="164" fontId="12" fillId="8" borderId="0" xfId="21" applyNumberFormat="1" applyFont="1" applyFill="1" applyAlignment="1">
      <alignment horizontal="center"/>
    </xf>
    <xf numFmtId="164" fontId="13" fillId="11" borderId="0" xfId="21" applyNumberFormat="1" applyFont="1" applyFill="1" applyAlignment="1">
      <alignment horizontal="center"/>
    </xf>
    <xf numFmtId="0" fontId="13" fillId="0" borderId="0" xfId="0" applyFont="1" applyBorder="1" applyAlignment="1">
      <alignment horizontal="center"/>
    </xf>
    <xf numFmtId="0" fontId="51" fillId="6" borderId="0" xfId="32" applyFill="1" applyAlignment="1" applyProtection="1"/>
    <xf numFmtId="9" fontId="12" fillId="6" borderId="0" xfId="0" applyNumberFormat="1" applyFont="1" applyFill="1" applyAlignment="1">
      <alignment horizontal="left"/>
    </xf>
    <xf numFmtId="0" fontId="13" fillId="0" borderId="2" xfId="0" applyFont="1" applyBorder="1" applyAlignment="1">
      <alignment horizontal="center"/>
    </xf>
    <xf numFmtId="0" fontId="52" fillId="33" borderId="0" xfId="13" applyFont="1" applyFill="1"/>
    <xf numFmtId="43" fontId="50" fillId="0" borderId="0" xfId="26" applyFont="1"/>
    <xf numFmtId="44" fontId="32" fillId="33" borderId="0" xfId="10" applyFont="1" applyFill="1"/>
    <xf numFmtId="0" fontId="52" fillId="24" borderId="0" xfId="13" applyFont="1" applyFill="1"/>
    <xf numFmtId="0" fontId="52" fillId="34" borderId="0" xfId="13" applyFont="1" applyFill="1"/>
    <xf numFmtId="0" fontId="52" fillId="21" borderId="0" xfId="13" applyFont="1" applyFill="1"/>
    <xf numFmtId="44" fontId="32" fillId="21" borderId="0" xfId="10" applyFont="1" applyFill="1"/>
    <xf numFmtId="44" fontId="32" fillId="24" borderId="0" xfId="10" applyFont="1" applyFill="1"/>
    <xf numFmtId="0" fontId="54" fillId="0" borderId="0" xfId="27" applyFont="1"/>
    <xf numFmtId="0" fontId="55" fillId="0" borderId="0" xfId="27" applyFont="1"/>
    <xf numFmtId="0" fontId="56" fillId="0" borderId="0" xfId="27" applyFont="1"/>
    <xf numFmtId="0" fontId="55" fillId="0" borderId="0" xfId="13" applyFont="1"/>
    <xf numFmtId="14" fontId="32" fillId="0" borderId="0" xfId="13" applyNumberFormat="1" applyFont="1" applyAlignment="1">
      <alignment horizontal="center"/>
    </xf>
    <xf numFmtId="44" fontId="32" fillId="2" borderId="0" xfId="10" applyFont="1" applyFill="1"/>
    <xf numFmtId="43" fontId="54" fillId="0" borderId="0" xfId="1" applyFont="1" applyAlignment="1"/>
    <xf numFmtId="0" fontId="58" fillId="0" borderId="0" xfId="13" applyFont="1"/>
    <xf numFmtId="0" fontId="32" fillId="0" borderId="0" xfId="13" applyFont="1"/>
    <xf numFmtId="43" fontId="56" fillId="0" borderId="0" xfId="1" applyFont="1" applyAlignment="1"/>
    <xf numFmtId="44" fontId="32" fillId="20" borderId="0" xfId="10" applyFont="1" applyFill="1"/>
    <xf numFmtId="44" fontId="32" fillId="15" borderId="0" xfId="10" applyFont="1" applyFill="1"/>
    <xf numFmtId="0" fontId="57" fillId="0" borderId="0" xfId="13" applyFont="1"/>
    <xf numFmtId="0" fontId="59" fillId="0" borderId="0" xfId="13" applyFont="1"/>
    <xf numFmtId="44" fontId="32" fillId="26" borderId="0" xfId="10" applyFont="1" applyFill="1"/>
    <xf numFmtId="43" fontId="56" fillId="26" borderId="0" xfId="1" applyFont="1" applyFill="1" applyAlignment="1"/>
    <xf numFmtId="0" fontId="56" fillId="26" borderId="0" xfId="27" applyFont="1" applyFill="1"/>
    <xf numFmtId="44" fontId="32" fillId="23" borderId="0" xfId="10" applyFont="1" applyFill="1"/>
    <xf numFmtId="44" fontId="32" fillId="34" borderId="0" xfId="10" applyFont="1" applyFill="1"/>
    <xf numFmtId="43" fontId="60" fillId="0" borderId="0" xfId="26" applyFont="1"/>
    <xf numFmtId="0" fontId="58" fillId="0" borderId="0" xfId="13" applyFont="1" applyFill="1"/>
    <xf numFmtId="0" fontId="60" fillId="0" borderId="0" xfId="13" applyFont="1"/>
    <xf numFmtId="0" fontId="52" fillId="23" borderId="0" xfId="13" applyFont="1" applyFill="1"/>
    <xf numFmtId="0" fontId="52" fillId="12" borderId="0" xfId="13" applyFont="1" applyFill="1"/>
    <xf numFmtId="0" fontId="52" fillId="14" borderId="0" xfId="13" applyFont="1" applyFill="1"/>
    <xf numFmtId="0" fontId="52" fillId="2" borderId="0" xfId="13" applyFont="1" applyFill="1"/>
    <xf numFmtId="0" fontId="52" fillId="26" borderId="0" xfId="13" applyFont="1" applyFill="1"/>
    <xf numFmtId="0" fontId="52" fillId="15" borderId="0" xfId="13" applyFont="1" applyFill="1"/>
    <xf numFmtId="0" fontId="52" fillId="20" borderId="0" xfId="13" applyFont="1" applyFill="1"/>
    <xf numFmtId="0" fontId="60" fillId="0" borderId="0" xfId="27" applyFont="1"/>
    <xf numFmtId="0" fontId="32" fillId="29" borderId="0" xfId="13" applyFont="1" applyFill="1"/>
    <xf numFmtId="44" fontId="32" fillId="29" borderId="0" xfId="10" applyFont="1" applyFill="1"/>
    <xf numFmtId="0" fontId="52" fillId="22" borderId="0" xfId="13" applyFont="1" applyFill="1"/>
    <xf numFmtId="0" fontId="61" fillId="0" borderId="0" xfId="13" applyFont="1" applyAlignment="1">
      <alignment horizontal="right"/>
    </xf>
    <xf numFmtId="43" fontId="61" fillId="0" borderId="0" xfId="26" applyFont="1"/>
    <xf numFmtId="44" fontId="32" fillId="14" borderId="0" xfId="9" applyFont="1" applyFill="1"/>
    <xf numFmtId="44" fontId="32" fillId="12" borderId="0" xfId="9" applyFont="1" applyFill="1"/>
    <xf numFmtId="44" fontId="32" fillId="22" borderId="0" xfId="9" applyFont="1" applyFill="1"/>
    <xf numFmtId="43" fontId="61" fillId="26" borderId="0" xfId="26" applyFont="1" applyFill="1"/>
    <xf numFmtId="164" fontId="23" fillId="0" borderId="0" xfId="21" applyNumberFormat="1" applyFont="1"/>
    <xf numFmtId="0" fontId="62" fillId="0" borderId="10" xfId="14" applyFont="1" applyFill="1" applyBorder="1" applyAlignment="1">
      <alignment horizontal="center" wrapText="1"/>
    </xf>
    <xf numFmtId="164" fontId="23" fillId="5" borderId="0" xfId="21" applyNumberFormat="1" applyFont="1" applyFill="1"/>
    <xf numFmtId="164" fontId="6" fillId="0" borderId="0" xfId="14" applyNumberFormat="1" applyFont="1" applyFill="1"/>
    <xf numFmtId="164" fontId="23" fillId="4" borderId="0" xfId="21" applyNumberFormat="1" applyFont="1" applyFill="1"/>
    <xf numFmtId="0" fontId="20" fillId="0" borderId="0" xfId="0" applyFont="1" applyAlignment="1">
      <alignment horizontal="right"/>
    </xf>
    <xf numFmtId="0" fontId="12" fillId="6" borderId="21" xfId="0" quotePrefix="1" applyFont="1" applyFill="1" applyBorder="1"/>
    <xf numFmtId="0" fontId="21" fillId="6" borderId="0" xfId="0" applyFont="1" applyFill="1" applyAlignment="1">
      <alignment wrapText="1"/>
    </xf>
    <xf numFmtId="0" fontId="30" fillId="9" borderId="0" xfId="0" applyFont="1" applyFill="1"/>
    <xf numFmtId="0" fontId="30" fillId="8" borderId="0" xfId="0" applyFont="1" applyFill="1"/>
    <xf numFmtId="2" fontId="30" fillId="8" borderId="0" xfId="1" applyNumberFormat="1" applyFont="1" applyFill="1" applyAlignment="1">
      <alignment horizontal="center"/>
    </xf>
    <xf numFmtId="10" fontId="30" fillId="9" borderId="0" xfId="21" applyNumberFormat="1" applyFont="1" applyFill="1" applyAlignment="1">
      <alignment horizontal="center"/>
    </xf>
    <xf numFmtId="0" fontId="21" fillId="6" borderId="0" xfId="0" applyFont="1" applyFill="1"/>
    <xf numFmtId="0" fontId="49" fillId="6" borderId="0" xfId="0" applyFont="1" applyFill="1" applyAlignment="1"/>
    <xf numFmtId="0" fontId="21" fillId="6" borderId="0" xfId="0" applyFont="1" applyFill="1"/>
    <xf numFmtId="0" fontId="2" fillId="6" borderId="0" xfId="0" applyFont="1" applyFill="1"/>
    <xf numFmtId="0" fontId="12" fillId="0" borderId="0" xfId="0" applyFont="1"/>
    <xf numFmtId="43" fontId="12" fillId="6" borderId="0" xfId="1" applyFont="1" applyFill="1"/>
    <xf numFmtId="0" fontId="12" fillId="6" borderId="0" xfId="0" applyFont="1" applyFill="1"/>
    <xf numFmtId="0" fontId="34" fillId="11" borderId="0" xfId="0" applyFont="1" applyFill="1" applyAlignment="1">
      <alignment horizontal="right"/>
    </xf>
    <xf numFmtId="0" fontId="63" fillId="9" borderId="2" xfId="0" applyFont="1" applyFill="1" applyBorder="1" applyAlignment="1">
      <alignment wrapText="1"/>
    </xf>
    <xf numFmtId="44" fontId="24" fillId="9" borderId="2" xfId="9" applyFont="1" applyFill="1" applyBorder="1" applyAlignment="1">
      <alignment horizontal="center" wrapText="1"/>
    </xf>
    <xf numFmtId="0" fontId="24" fillId="9" borderId="2" xfId="0" applyNumberFormat="1" applyFont="1" applyFill="1" applyBorder="1" applyAlignment="1">
      <alignment horizontal="center" wrapText="1"/>
    </xf>
    <xf numFmtId="0" fontId="0" fillId="9" borderId="0" xfId="0" applyFill="1" applyAlignment="1">
      <alignment wrapText="1"/>
    </xf>
    <xf numFmtId="44" fontId="63" fillId="0" borderId="2" xfId="9" applyFont="1" applyBorder="1" applyAlignment="1">
      <alignment wrapText="1"/>
    </xf>
    <xf numFmtId="44" fontId="64" fillId="0" borderId="2" xfId="9" applyFont="1" applyBorder="1" applyAlignment="1">
      <alignment horizontal="center"/>
    </xf>
    <xf numFmtId="0" fontId="65" fillId="0" borderId="2" xfId="9" applyNumberFormat="1" applyFont="1" applyBorder="1" applyAlignment="1">
      <alignment horizontal="left" vertical="center" wrapText="1"/>
    </xf>
    <xf numFmtId="0" fontId="65" fillId="0" borderId="2" xfId="9" applyNumberFormat="1" applyFont="1" applyBorder="1" applyAlignment="1">
      <alignment horizontal="center" wrapText="1"/>
    </xf>
    <xf numFmtId="44" fontId="66" fillId="0" borderId="2" xfId="9" applyFont="1" applyBorder="1" applyAlignment="1">
      <alignment horizontal="center"/>
    </xf>
    <xf numFmtId="0" fontId="67" fillId="0" borderId="2" xfId="0" applyFont="1" applyBorder="1" applyAlignment="1">
      <alignment horizontal="right"/>
    </xf>
    <xf numFmtId="44" fontId="63" fillId="0" borderId="2" xfId="9" applyFont="1" applyBorder="1" applyAlignment="1">
      <alignment horizontal="center"/>
    </xf>
    <xf numFmtId="0" fontId="0" fillId="0" borderId="2" xfId="9" applyNumberFormat="1" applyFont="1" applyBorder="1" applyAlignment="1">
      <alignment horizontal="center"/>
    </xf>
    <xf numFmtId="0" fontId="63" fillId="9" borderId="2" xfId="0" applyFont="1" applyFill="1" applyBorder="1" applyAlignment="1">
      <alignment horizontal="center" wrapText="1"/>
    </xf>
    <xf numFmtId="0" fontId="68" fillId="0" borderId="13" xfId="0" applyFont="1" applyBorder="1" applyAlignment="1">
      <alignment horizontal="right"/>
    </xf>
    <xf numFmtId="8" fontId="69" fillId="0" borderId="23" xfId="9" applyNumberFormat="1" applyFont="1" applyBorder="1" applyAlignment="1">
      <alignment horizontal="center"/>
    </xf>
    <xf numFmtId="8" fontId="69" fillId="0" borderId="24" xfId="9" applyNumberFormat="1" applyFont="1" applyBorder="1" applyAlignment="1">
      <alignment horizontal="left"/>
    </xf>
    <xf numFmtId="0" fontId="68" fillId="0" borderId="14" xfId="0" applyFont="1" applyBorder="1" applyAlignment="1">
      <alignment horizontal="right"/>
    </xf>
    <xf numFmtId="8" fontId="69" fillId="0" borderId="0" xfId="9" applyNumberFormat="1" applyFont="1" applyBorder="1" applyAlignment="1">
      <alignment horizontal="center"/>
    </xf>
    <xf numFmtId="8" fontId="69" fillId="0" borderId="15" xfId="9" applyNumberFormat="1" applyFont="1" applyBorder="1" applyAlignment="1">
      <alignment horizontal="left"/>
    </xf>
    <xf numFmtId="8" fontId="70" fillId="0" borderId="0" xfId="9" applyNumberFormat="1" applyFont="1" applyBorder="1" applyAlignment="1">
      <alignment horizontal="center"/>
    </xf>
    <xf numFmtId="8" fontId="70" fillId="0" borderId="15" xfId="9" applyNumberFormat="1" applyFont="1" applyBorder="1" applyAlignment="1">
      <alignment horizontal="left"/>
    </xf>
    <xf numFmtId="0" fontId="67" fillId="0" borderId="14" xfId="0" applyFont="1" applyBorder="1" applyAlignment="1">
      <alignment horizontal="right"/>
    </xf>
    <xf numFmtId="8" fontId="67" fillId="0" borderId="0" xfId="9" applyNumberFormat="1" applyFont="1" applyBorder="1" applyAlignment="1">
      <alignment horizontal="center"/>
    </xf>
    <xf numFmtId="8" fontId="67" fillId="0" borderId="15" xfId="9" applyNumberFormat="1" applyFont="1" applyBorder="1" applyAlignment="1">
      <alignment horizontal="left"/>
    </xf>
    <xf numFmtId="0" fontId="69" fillId="0" borderId="14" xfId="0" applyFont="1" applyBorder="1"/>
    <xf numFmtId="44" fontId="69" fillId="0" borderId="0" xfId="9" applyFont="1" applyBorder="1" applyAlignment="1">
      <alignment horizontal="center"/>
    </xf>
    <xf numFmtId="0" fontId="69" fillId="0" borderId="15" xfId="9" applyNumberFormat="1" applyFont="1" applyBorder="1" applyAlignment="1">
      <alignment horizontal="center"/>
    </xf>
    <xf numFmtId="44" fontId="0" fillId="0" borderId="0" xfId="9" applyFont="1" applyBorder="1" applyAlignment="1">
      <alignment horizontal="center"/>
    </xf>
    <xf numFmtId="0" fontId="0" fillId="0" borderId="15" xfId="9" applyNumberFormat="1" applyFont="1" applyBorder="1" applyAlignment="1">
      <alignment horizontal="center"/>
    </xf>
    <xf numFmtId="44" fontId="68" fillId="0" borderId="14" xfId="9" applyFont="1" applyBorder="1" applyAlignment="1">
      <alignment horizontal="left"/>
    </xf>
    <xf numFmtId="0" fontId="68" fillId="0" borderId="30" xfId="9" applyNumberFormat="1" applyFont="1" applyBorder="1" applyAlignment="1">
      <alignment horizontal="left"/>
    </xf>
    <xf numFmtId="44" fontId="0" fillId="0" borderId="28" xfId="9" applyFont="1" applyBorder="1" applyAlignment="1">
      <alignment horizontal="center"/>
    </xf>
    <xf numFmtId="0" fontId="0" fillId="0" borderId="29" xfId="9" applyNumberFormat="1" applyFont="1" applyBorder="1" applyAlignment="1">
      <alignment horizontal="center"/>
    </xf>
    <xf numFmtId="0" fontId="69" fillId="0" borderId="0" xfId="0" applyFont="1"/>
    <xf numFmtId="44" fontId="0" fillId="0" borderId="0" xfId="9" applyFont="1" applyAlignment="1">
      <alignment horizontal="center"/>
    </xf>
    <xf numFmtId="0" fontId="0" fillId="0" borderId="0" xfId="9" applyNumberFormat="1" applyFont="1" applyAlignment="1">
      <alignment horizontal="center"/>
    </xf>
    <xf numFmtId="43" fontId="31" fillId="0" borderId="0" xfId="1" applyFont="1" applyFill="1"/>
    <xf numFmtId="43" fontId="17" fillId="0" borderId="0" xfId="1" applyFont="1" applyFill="1"/>
    <xf numFmtId="0" fontId="18" fillId="0" borderId="0" xfId="0" applyFont="1" applyAlignment="1">
      <alignment horizontal="right" wrapText="1"/>
    </xf>
    <xf numFmtId="43" fontId="12" fillId="10" borderId="0" xfId="1" applyFont="1" applyFill="1"/>
    <xf numFmtId="0" fontId="12" fillId="0" borderId="0" xfId="0" applyFont="1"/>
    <xf numFmtId="43" fontId="12" fillId="0" borderId="0" xfId="1" applyFont="1"/>
    <xf numFmtId="0" fontId="12" fillId="0" borderId="0" xfId="0" quotePrefix="1" applyFont="1"/>
    <xf numFmtId="44" fontId="63" fillId="0" borderId="2" xfId="9" applyFont="1" applyBorder="1" applyAlignment="1">
      <alignment horizontal="right" wrapText="1"/>
    </xf>
    <xf numFmtId="44" fontId="64" fillId="0" borderId="2" xfId="9" applyFont="1" applyBorder="1" applyAlignment="1">
      <alignment horizontal="right"/>
    </xf>
    <xf numFmtId="0" fontId="65" fillId="0" borderId="2" xfId="9" applyNumberFormat="1" applyFont="1" applyBorder="1" applyAlignment="1">
      <alignment horizontal="right" vertical="center" wrapText="1"/>
    </xf>
    <xf numFmtId="43" fontId="23" fillId="0" borderId="0" xfId="1" applyFont="1"/>
    <xf numFmtId="0" fontId="73" fillId="3" borderId="1" xfId="13" applyFont="1" applyFill="1" applyBorder="1" applyAlignment="1">
      <alignment horizontal="center"/>
    </xf>
    <xf numFmtId="0" fontId="73" fillId="7" borderId="1" xfId="13" applyFont="1" applyFill="1" applyBorder="1" applyAlignment="1">
      <alignment horizontal="center"/>
    </xf>
    <xf numFmtId="0" fontId="73" fillId="0" borderId="1" xfId="13" applyFont="1" applyFill="1" applyBorder="1" applyAlignment="1">
      <alignment horizontal="center"/>
    </xf>
    <xf numFmtId="2" fontId="4" fillId="7" borderId="1" xfId="13" applyNumberFormat="1" applyFont="1" applyFill="1" applyBorder="1" applyAlignment="1">
      <alignment horizontal="center"/>
    </xf>
    <xf numFmtId="2" fontId="4" fillId="0" borderId="1" xfId="13" applyNumberFormat="1" applyFont="1" applyFill="1" applyBorder="1" applyAlignment="1">
      <alignment horizontal="center"/>
    </xf>
    <xf numFmtId="0" fontId="74" fillId="0" borderId="0" xfId="13" applyFont="1"/>
    <xf numFmtId="0" fontId="72" fillId="0" borderId="0" xfId="13" applyFont="1"/>
    <xf numFmtId="0" fontId="75" fillId="0" borderId="2" xfId="13" applyFont="1" applyBorder="1" applyAlignment="1">
      <alignment wrapText="1"/>
    </xf>
    <xf numFmtId="0" fontId="71" fillId="0" borderId="2" xfId="13" applyFont="1" applyBorder="1" applyAlignment="1">
      <alignment wrapText="1"/>
    </xf>
    <xf numFmtId="0" fontId="71" fillId="0" borderId="2" xfId="13" applyFont="1" applyBorder="1" applyAlignment="1">
      <alignment horizontal="left" wrapText="1"/>
    </xf>
    <xf numFmtId="0" fontId="72" fillId="0" borderId="2" xfId="13" applyFont="1" applyBorder="1" applyAlignment="1">
      <alignment horizontal="center" wrapText="1"/>
    </xf>
    <xf numFmtId="44" fontId="72" fillId="0" borderId="2" xfId="10" applyFont="1" applyFill="1" applyBorder="1" applyAlignment="1">
      <alignment horizontal="center" wrapText="1"/>
    </xf>
    <xf numFmtId="2" fontId="72" fillId="0" borderId="2" xfId="10" applyNumberFormat="1" applyFont="1" applyBorder="1" applyAlignment="1">
      <alignment horizontal="center" wrapText="1"/>
    </xf>
    <xf numFmtId="44" fontId="72" fillId="0" borderId="2" xfId="10" applyFont="1" applyBorder="1" applyAlignment="1">
      <alignment horizontal="center" wrapText="1"/>
    </xf>
    <xf numFmtId="168" fontId="72" fillId="0" borderId="2" xfId="1" applyNumberFormat="1" applyFont="1" applyBorder="1" applyAlignment="1">
      <alignment horizontal="center" wrapText="1"/>
    </xf>
    <xf numFmtId="43" fontId="72" fillId="0" borderId="2" xfId="1" applyFont="1" applyFill="1" applyBorder="1" applyAlignment="1">
      <alignment horizontal="center" wrapText="1"/>
    </xf>
    <xf numFmtId="10" fontId="72" fillId="0" borderId="2" xfId="13" applyNumberFormat="1" applyFont="1" applyBorder="1" applyAlignment="1">
      <alignment horizontal="center" wrapText="1"/>
    </xf>
    <xf numFmtId="44" fontId="72" fillId="4" borderId="2" xfId="10" applyFont="1" applyFill="1" applyBorder="1" applyAlignment="1">
      <alignment horizontal="center" wrapText="1"/>
    </xf>
    <xf numFmtId="0" fontId="72" fillId="6" borderId="0" xfId="13" applyFont="1" applyFill="1"/>
    <xf numFmtId="0" fontId="72" fillId="0" borderId="0" xfId="13" applyFont="1" applyFill="1" applyAlignment="1">
      <alignment horizontal="center"/>
    </xf>
    <xf numFmtId="2" fontId="72" fillId="0" borderId="0" xfId="13" applyNumberFormat="1" applyFont="1" applyFill="1" applyAlignment="1">
      <alignment horizontal="center"/>
    </xf>
    <xf numFmtId="2" fontId="72" fillId="0" borderId="0" xfId="10" applyNumberFormat="1" applyFont="1" applyFill="1" applyAlignment="1">
      <alignment horizontal="center"/>
    </xf>
    <xf numFmtId="44" fontId="72" fillId="0" borderId="0" xfId="10" applyFont="1" applyFill="1"/>
    <xf numFmtId="4" fontId="72" fillId="0" borderId="0" xfId="1" applyNumberFormat="1" applyFont="1" applyFill="1"/>
    <xf numFmtId="43" fontId="72" fillId="6" borderId="0" xfId="1" applyFont="1" applyFill="1"/>
    <xf numFmtId="44" fontId="72" fillId="6" borderId="0" xfId="10" applyFont="1" applyFill="1"/>
    <xf numFmtId="10" fontId="72" fillId="0" borderId="0" xfId="13" applyNumberFormat="1" applyFont="1" applyAlignment="1">
      <alignment horizontal="center"/>
    </xf>
    <xf numFmtId="14" fontId="72" fillId="0" borderId="0" xfId="13" quotePrefix="1" applyNumberFormat="1" applyFont="1" applyAlignment="1">
      <alignment horizontal="center"/>
    </xf>
    <xf numFmtId="1" fontId="72" fillId="0" borderId="0" xfId="13" applyNumberFormat="1" applyFont="1" applyAlignment="1">
      <alignment horizontal="center"/>
    </xf>
    <xf numFmtId="14" fontId="72" fillId="0" borderId="0" xfId="13" applyNumberFormat="1" applyFont="1"/>
    <xf numFmtId="1" fontId="72" fillId="0" borderId="0" xfId="13" applyNumberFormat="1" applyFont="1"/>
    <xf numFmtId="14" fontId="72" fillId="0" borderId="0" xfId="13" applyNumberFormat="1" applyFont="1" applyAlignment="1">
      <alignment horizontal="center"/>
    </xf>
    <xf numFmtId="14" fontId="72" fillId="4" borderId="0" xfId="13" applyNumberFormat="1" applyFont="1" applyFill="1" applyAlignment="1">
      <alignment horizontal="center"/>
    </xf>
    <xf numFmtId="14" fontId="72" fillId="0" borderId="0" xfId="13" applyNumberFormat="1" applyFont="1" applyFill="1" applyAlignment="1">
      <alignment horizontal="center"/>
    </xf>
    <xf numFmtId="44" fontId="72" fillId="0" borderId="0" xfId="10" applyFont="1"/>
    <xf numFmtId="43" fontId="72" fillId="0" borderId="0" xfId="1" applyFont="1" applyFill="1"/>
    <xf numFmtId="14" fontId="72" fillId="29" borderId="0" xfId="13" applyNumberFormat="1" applyFont="1" applyFill="1" applyAlignment="1">
      <alignment horizontal="center"/>
    </xf>
    <xf numFmtId="43" fontId="72" fillId="27" borderId="0" xfId="1" applyFont="1" applyFill="1"/>
    <xf numFmtId="0" fontId="72" fillId="0" borderId="0" xfId="13" applyFont="1" applyAlignment="1">
      <alignment horizontal="center"/>
    </xf>
    <xf numFmtId="4" fontId="72" fillId="0" borderId="0" xfId="1" quotePrefix="1" applyNumberFormat="1" applyFont="1" applyFill="1"/>
    <xf numFmtId="8" fontId="72" fillId="0" borderId="0" xfId="13" applyNumberFormat="1" applyFont="1" applyFill="1" applyAlignment="1">
      <alignment horizontal="center"/>
    </xf>
    <xf numFmtId="0" fontId="72" fillId="4" borderId="0" xfId="13" applyFont="1" applyFill="1"/>
    <xf numFmtId="44" fontId="72" fillId="4" borderId="0" xfId="10" applyFont="1" applyFill="1"/>
    <xf numFmtId="0" fontId="74" fillId="0" borderId="0" xfId="13" applyFont="1" applyFill="1"/>
    <xf numFmtId="43" fontId="76" fillId="17" borderId="0" xfId="1" applyFont="1" applyFill="1"/>
    <xf numFmtId="0" fontId="72" fillId="4" borderId="0" xfId="13" applyFont="1" applyFill="1" applyAlignment="1">
      <alignment horizontal="center"/>
    </xf>
    <xf numFmtId="2" fontId="72" fillId="0" borderId="0" xfId="10" applyNumberFormat="1" applyFont="1" applyFill="1"/>
    <xf numFmtId="1" fontId="72" fillId="4" borderId="0" xfId="13" applyNumberFormat="1" applyFont="1" applyFill="1" applyAlignment="1">
      <alignment horizontal="center"/>
    </xf>
    <xf numFmtId="14" fontId="72" fillId="4" borderId="0" xfId="13" applyNumberFormat="1" applyFont="1" applyFill="1"/>
    <xf numFmtId="1" fontId="72" fillId="4" borderId="0" xfId="13" applyNumberFormat="1" applyFont="1" applyFill="1"/>
    <xf numFmtId="0" fontId="72" fillId="0" borderId="0" xfId="10" applyNumberFormat="1" applyFont="1" applyFill="1"/>
    <xf numFmtId="4" fontId="72" fillId="19" borderId="0" xfId="1" applyNumberFormat="1" applyFont="1" applyFill="1"/>
    <xf numFmtId="4" fontId="72" fillId="11" borderId="0" xfId="1" applyNumberFormat="1" applyFont="1" applyFill="1"/>
    <xf numFmtId="0" fontId="71" fillId="0" borderId="0" xfId="13" applyFont="1"/>
    <xf numFmtId="44" fontId="71" fillId="0" borderId="0" xfId="10" applyFont="1"/>
    <xf numFmtId="10" fontId="71" fillId="0" borderId="0" xfId="13" applyNumberFormat="1" applyFont="1" applyAlignment="1">
      <alignment horizontal="center"/>
    </xf>
    <xf numFmtId="0" fontId="71" fillId="0" borderId="0" xfId="13" applyFont="1" applyAlignment="1">
      <alignment horizontal="center"/>
    </xf>
    <xf numFmtId="0" fontId="72" fillId="6" borderId="0" xfId="13" applyFont="1" applyFill="1" applyAlignment="1">
      <alignment horizontal="left"/>
    </xf>
    <xf numFmtId="43" fontId="72" fillId="4" borderId="0" xfId="1" applyFont="1" applyFill="1"/>
    <xf numFmtId="0" fontId="72" fillId="0" borderId="0" xfId="13" applyFont="1" applyFill="1" applyBorder="1" applyAlignment="1">
      <alignment horizontal="center"/>
    </xf>
    <xf numFmtId="2" fontId="72" fillId="0" borderId="0" xfId="10" applyNumberFormat="1" applyFont="1" applyFill="1" applyBorder="1" applyAlignment="1">
      <alignment horizontal="center"/>
    </xf>
    <xf numFmtId="44" fontId="72" fillId="0" borderId="0" xfId="10" applyFont="1" applyFill="1" applyBorder="1"/>
    <xf numFmtId="4" fontId="72" fillId="0" borderId="0" xfId="1" applyNumberFormat="1" applyFont="1" applyFill="1" applyBorder="1"/>
    <xf numFmtId="0" fontId="72" fillId="0" borderId="0" xfId="13" applyFont="1" applyFill="1"/>
    <xf numFmtId="0" fontId="72" fillId="0" borderId="22" xfId="13" applyFont="1" applyBorder="1"/>
    <xf numFmtId="0" fontId="72" fillId="0" borderId="23" xfId="13" applyFont="1" applyFill="1" applyBorder="1" applyAlignment="1">
      <alignment horizontal="center"/>
    </xf>
    <xf numFmtId="2" fontId="72" fillId="0" borderId="23" xfId="13" applyNumberFormat="1" applyFont="1" applyFill="1" applyBorder="1" applyAlignment="1">
      <alignment horizontal="center"/>
    </xf>
    <xf numFmtId="1" fontId="72" fillId="0" borderId="23" xfId="10" applyNumberFormat="1" applyFont="1" applyFill="1" applyBorder="1" applyAlignment="1">
      <alignment horizontal="center"/>
    </xf>
    <xf numFmtId="44" fontId="72" fillId="0" borderId="23" xfId="10" applyFont="1" applyFill="1" applyBorder="1"/>
    <xf numFmtId="4" fontId="72" fillId="0" borderId="23" xfId="1" applyNumberFormat="1" applyFont="1" applyFill="1" applyBorder="1"/>
    <xf numFmtId="43" fontId="72" fillId="6" borderId="24" xfId="1" applyFont="1" applyFill="1" applyBorder="1"/>
    <xf numFmtId="0" fontId="72" fillId="0" borderId="9" xfId="13" applyFont="1" applyBorder="1"/>
    <xf numFmtId="0" fontId="72" fillId="0" borderId="27" xfId="13" applyFont="1" applyFill="1" applyBorder="1" applyAlignment="1">
      <alignment horizontal="center"/>
    </xf>
    <xf numFmtId="2" fontId="72" fillId="0" borderId="27" xfId="13" applyNumberFormat="1" applyFont="1" applyFill="1" applyBorder="1" applyAlignment="1">
      <alignment horizontal="center"/>
    </xf>
    <xf numFmtId="1" fontId="72" fillId="0" borderId="27" xfId="10" applyNumberFormat="1" applyFont="1" applyFill="1" applyBorder="1" applyAlignment="1">
      <alignment horizontal="center"/>
    </xf>
    <xf numFmtId="44" fontId="72" fillId="0" borderId="27" xfId="10" applyFont="1" applyFill="1" applyBorder="1"/>
    <xf numFmtId="4" fontId="72" fillId="0" borderId="27" xfId="1" applyNumberFormat="1" applyFont="1" applyFill="1" applyBorder="1"/>
    <xf numFmtId="2" fontId="72" fillId="0" borderId="23" xfId="10" applyNumberFormat="1" applyFont="1" applyFill="1" applyBorder="1" applyAlignment="1">
      <alignment horizontal="center"/>
    </xf>
    <xf numFmtId="44" fontId="72" fillId="0" borderId="23" xfId="10" applyFont="1" applyFill="1" applyBorder="1" applyAlignment="1">
      <alignment horizontal="center"/>
    </xf>
    <xf numFmtId="0" fontId="72" fillId="0" borderId="14" xfId="13" applyFont="1" applyBorder="1"/>
    <xf numFmtId="2" fontId="72" fillId="0" borderId="0" xfId="13" applyNumberFormat="1" applyFont="1" applyFill="1" applyBorder="1" applyAlignment="1">
      <alignment horizontal="center"/>
    </xf>
    <xf numFmtId="44" fontId="72" fillId="0" borderId="0" xfId="10" applyFont="1" applyFill="1" applyBorder="1" applyAlignment="1">
      <alignment horizontal="center"/>
    </xf>
    <xf numFmtId="2" fontId="72" fillId="0" borderId="27" xfId="10" applyNumberFormat="1" applyFont="1" applyFill="1" applyBorder="1" applyAlignment="1">
      <alignment horizontal="center"/>
    </xf>
    <xf numFmtId="44" fontId="72" fillId="0" borderId="27" xfId="10" applyFont="1" applyFill="1" applyBorder="1" applyAlignment="1">
      <alignment horizontal="center"/>
    </xf>
    <xf numFmtId="1" fontId="72" fillId="0" borderId="0" xfId="10" applyNumberFormat="1" applyFont="1" applyFill="1" applyBorder="1" applyAlignment="1">
      <alignment horizontal="center"/>
    </xf>
    <xf numFmtId="44" fontId="72" fillId="0" borderId="0" xfId="10" applyFont="1" applyFill="1" applyAlignment="1">
      <alignment horizontal="center"/>
    </xf>
    <xf numFmtId="0" fontId="71" fillId="0" borderId="0" xfId="13" applyFont="1" applyFill="1" applyBorder="1" applyAlignment="1">
      <alignment horizontal="center"/>
    </xf>
    <xf numFmtId="0" fontId="72" fillId="0" borderId="0" xfId="13" applyFont="1" applyBorder="1" applyAlignment="1">
      <alignment horizontal="center"/>
    </xf>
    <xf numFmtId="2" fontId="72" fillId="0" borderId="0" xfId="13" applyNumberFormat="1" applyFont="1" applyBorder="1" applyAlignment="1">
      <alignment horizontal="center"/>
    </xf>
    <xf numFmtId="2" fontId="72" fillId="0" borderId="0" xfId="10" applyNumberFormat="1" applyFont="1" applyAlignment="1">
      <alignment horizontal="center"/>
    </xf>
    <xf numFmtId="4" fontId="72" fillId="0" borderId="0" xfId="1" applyNumberFormat="1" applyFont="1"/>
    <xf numFmtId="4" fontId="77" fillId="0" borderId="0" xfId="1" applyNumberFormat="1" applyFont="1" applyFill="1" applyAlignment="1">
      <alignment horizontal="right"/>
    </xf>
    <xf numFmtId="43" fontId="71" fillId="0" borderId="22" xfId="1" applyFont="1" applyFill="1" applyBorder="1"/>
    <xf numFmtId="43" fontId="71" fillId="0" borderId="23" xfId="1" applyFont="1" applyFill="1" applyBorder="1"/>
    <xf numFmtId="10" fontId="72" fillId="0" borderId="14" xfId="13" applyNumberFormat="1" applyFont="1" applyBorder="1" applyAlignment="1">
      <alignment horizontal="center"/>
    </xf>
    <xf numFmtId="43" fontId="72" fillId="0" borderId="0" xfId="13" applyNumberFormat="1" applyFont="1" applyBorder="1" applyAlignment="1">
      <alignment horizontal="center"/>
    </xf>
    <xf numFmtId="4" fontId="77" fillId="0" borderId="0" xfId="1" applyNumberFormat="1" applyFont="1" applyAlignment="1">
      <alignment horizontal="right"/>
    </xf>
    <xf numFmtId="43" fontId="72" fillId="0" borderId="9" xfId="1" applyFont="1" applyFill="1" applyBorder="1"/>
    <xf numFmtId="44" fontId="72" fillId="0" borderId="27" xfId="10" applyFont="1" applyBorder="1"/>
    <xf numFmtId="43" fontId="71" fillId="0" borderId="0" xfId="1" applyFont="1" applyFill="1"/>
    <xf numFmtId="43" fontId="78" fillId="0" borderId="23" xfId="1" applyFont="1" applyFill="1" applyBorder="1"/>
    <xf numFmtId="43" fontId="72" fillId="0" borderId="0" xfId="13" applyNumberFormat="1" applyFont="1" applyAlignment="1">
      <alignment horizontal="center"/>
    </xf>
    <xf numFmtId="43" fontId="71" fillId="0" borderId="0" xfId="1" applyFont="1" applyFill="1" applyBorder="1"/>
    <xf numFmtId="44" fontId="72" fillId="0" borderId="0" xfId="10" applyFont="1" applyAlignment="1">
      <alignment horizontal="center"/>
    </xf>
    <xf numFmtId="168" fontId="72" fillId="0" borderId="0" xfId="1" applyNumberFormat="1" applyFont="1"/>
    <xf numFmtId="43" fontId="76" fillId="27" borderId="0" xfId="1" applyFont="1" applyFill="1"/>
    <xf numFmtId="43" fontId="79" fillId="27" borderId="0" xfId="1" applyFont="1" applyFill="1"/>
    <xf numFmtId="44" fontId="72" fillId="27" borderId="0" xfId="10" applyFont="1" applyFill="1"/>
    <xf numFmtId="2" fontId="72" fillId="0" borderId="0" xfId="10" applyNumberFormat="1" applyFont="1" applyAlignment="1">
      <alignment horizontal="right"/>
    </xf>
    <xf numFmtId="10" fontId="72" fillId="0" borderId="0" xfId="13" applyNumberFormat="1" applyFont="1" applyAlignment="1">
      <alignment horizontal="left"/>
    </xf>
    <xf numFmtId="14" fontId="72" fillId="0" borderId="0" xfId="13" applyNumberFormat="1" applyFont="1" applyFill="1" applyAlignment="1">
      <alignment horizontal="left"/>
    </xf>
    <xf numFmtId="1" fontId="72" fillId="0" borderId="0" xfId="13" applyNumberFormat="1" applyFont="1" applyAlignment="1">
      <alignment horizontal="left"/>
    </xf>
    <xf numFmtId="0" fontId="18" fillId="0" borderId="0" xfId="0" applyFont="1" applyAlignment="1">
      <alignment horizontal="right" wrapText="1"/>
    </xf>
    <xf numFmtId="0" fontId="80" fillId="0" borderId="0" xfId="0" applyFont="1"/>
    <xf numFmtId="0" fontId="80" fillId="0" borderId="0" xfId="0" applyFont="1" applyFill="1"/>
    <xf numFmtId="0" fontId="80" fillId="0" borderId="2" xfId="0" applyFont="1" applyBorder="1" applyAlignment="1">
      <alignment horizontal="center"/>
    </xf>
    <xf numFmtId="0" fontId="82" fillId="0" borderId="0" xfId="0" applyFont="1" applyAlignment="1">
      <alignment horizontal="right"/>
    </xf>
    <xf numFmtId="0" fontId="83" fillId="0" borderId="0" xfId="0" applyFont="1" applyAlignment="1">
      <alignment horizontal="right"/>
    </xf>
    <xf numFmtId="0" fontId="82" fillId="0" borderId="2" xfId="0" applyFont="1" applyBorder="1" applyAlignment="1">
      <alignment horizontal="center" wrapText="1"/>
    </xf>
    <xf numFmtId="0" fontId="82" fillId="0" borderId="0" xfId="0" applyFont="1" applyFill="1"/>
    <xf numFmtId="0" fontId="82" fillId="19" borderId="2" xfId="0" applyFont="1" applyFill="1" applyBorder="1" applyAlignment="1">
      <alignment horizontal="center" wrapText="1"/>
    </xf>
    <xf numFmtId="0" fontId="82" fillId="4" borderId="2" xfId="0" applyFont="1" applyFill="1" applyBorder="1" applyAlignment="1">
      <alignment horizontal="center" wrapText="1"/>
    </xf>
    <xf numFmtId="43" fontId="82" fillId="6" borderId="2" xfId="1" applyFont="1" applyFill="1" applyBorder="1" applyAlignment="1">
      <alignment horizontal="center"/>
    </xf>
    <xf numFmtId="43" fontId="82" fillId="6" borderId="2" xfId="1" applyFont="1" applyFill="1" applyBorder="1" applyAlignment="1">
      <alignment horizontal="center" wrapText="1"/>
    </xf>
    <xf numFmtId="0" fontId="82" fillId="6" borderId="14" xfId="0" applyFont="1" applyFill="1" applyBorder="1" applyAlignment="1"/>
    <xf numFmtId="0" fontId="82" fillId="0" borderId="0" xfId="0" applyFont="1"/>
    <xf numFmtId="0" fontId="82" fillId="0" borderId="0" xfId="0" quotePrefix="1" applyFont="1"/>
    <xf numFmtId="43" fontId="82" fillId="0" borderId="0" xfId="1" applyFont="1"/>
    <xf numFmtId="164" fontId="82" fillId="0" borderId="0" xfId="21" applyNumberFormat="1" applyFont="1"/>
    <xf numFmtId="43" fontId="82" fillId="19" borderId="0" xfId="1" applyFont="1" applyFill="1"/>
    <xf numFmtId="43" fontId="82" fillId="27" borderId="0" xfId="1" applyFont="1" applyFill="1"/>
    <xf numFmtId="43" fontId="82" fillId="0" borderId="0" xfId="1" applyFont="1" applyFill="1"/>
    <xf numFmtId="0" fontId="82" fillId="6" borderId="0" xfId="0" applyFont="1" applyFill="1"/>
    <xf numFmtId="43" fontId="82" fillId="6" borderId="0" xfId="1" applyFont="1" applyFill="1"/>
    <xf numFmtId="0" fontId="82" fillId="0" borderId="0" xfId="0" quotePrefix="1" applyFont="1" applyAlignment="1">
      <alignment horizontal="left"/>
    </xf>
    <xf numFmtId="0" fontId="80" fillId="13" borderId="0" xfId="0" applyFont="1" applyFill="1"/>
    <xf numFmtId="43" fontId="80" fillId="13" borderId="3" xfId="2" applyFont="1" applyFill="1" applyBorder="1"/>
    <xf numFmtId="164" fontId="82" fillId="13" borderId="0" xfId="21" applyNumberFormat="1" applyFont="1" applyFill="1"/>
    <xf numFmtId="43" fontId="80" fillId="13" borderId="3" xfId="1" applyFont="1" applyFill="1" applyBorder="1"/>
    <xf numFmtId="0" fontId="80" fillId="5" borderId="0" xfId="0" applyFont="1" applyFill="1"/>
    <xf numFmtId="0" fontId="82" fillId="0" borderId="0" xfId="0" applyFont="1" applyAlignment="1">
      <alignment horizontal="left"/>
    </xf>
    <xf numFmtId="43" fontId="82" fillId="0" borderId="0" xfId="2" applyFont="1"/>
    <xf numFmtId="0" fontId="80" fillId="8" borderId="0" xfId="0" applyFont="1" applyFill="1"/>
    <xf numFmtId="43" fontId="80" fillId="8" borderId="3" xfId="2" applyFont="1" applyFill="1" applyBorder="1"/>
    <xf numFmtId="164" fontId="82" fillId="8" borderId="0" xfId="21" applyNumberFormat="1" applyFont="1" applyFill="1"/>
    <xf numFmtId="164" fontId="80" fillId="8" borderId="0" xfId="21" applyNumberFormat="1" applyFont="1" applyFill="1"/>
    <xf numFmtId="43" fontId="80" fillId="8" borderId="3" xfId="1" applyFont="1" applyFill="1" applyBorder="1"/>
    <xf numFmtId="0" fontId="80" fillId="11" borderId="0" xfId="0" applyFont="1" applyFill="1"/>
    <xf numFmtId="0" fontId="80" fillId="11" borderId="0" xfId="0" applyFont="1" applyFill="1" applyAlignment="1">
      <alignment horizontal="left"/>
    </xf>
    <xf numFmtId="43" fontId="80" fillId="11" borderId="3" xfId="2" applyFont="1" applyFill="1" applyBorder="1"/>
    <xf numFmtId="164" fontId="80" fillId="11" borderId="0" xfId="21" applyNumberFormat="1" applyFont="1" applyFill="1"/>
    <xf numFmtId="43" fontId="80" fillId="19" borderId="3" xfId="2" applyFont="1" applyFill="1" applyBorder="1"/>
    <xf numFmtId="43" fontId="80" fillId="11" borderId="3" xfId="1" applyFont="1" applyFill="1" applyBorder="1"/>
    <xf numFmtId="4" fontId="82" fillId="0" borderId="0" xfId="0" applyNumberFormat="1" applyFont="1"/>
    <xf numFmtId="4" fontId="80" fillId="0" borderId="0" xfId="0" applyNumberFormat="1" applyFont="1"/>
    <xf numFmtId="43" fontId="80" fillId="0" borderId="5" xfId="0" applyNumberFormat="1" applyFont="1" applyBorder="1"/>
    <xf numFmtId="4" fontId="80" fillId="0" borderId="22" xfId="0" applyNumberFormat="1" applyFont="1" applyBorder="1"/>
    <xf numFmtId="0" fontId="82" fillId="0" borderId="23" xfId="0" applyFont="1" applyBorder="1"/>
    <xf numFmtId="0" fontId="82" fillId="0" borderId="24" xfId="0" applyFont="1" applyBorder="1"/>
    <xf numFmtId="43" fontId="80" fillId="0" borderId="0" xfId="0" applyNumberFormat="1" applyFont="1" applyBorder="1"/>
    <xf numFmtId="0" fontId="82" fillId="0" borderId="14" xfId="0" applyFont="1" applyBorder="1" applyAlignment="1">
      <alignment horizontal="left"/>
    </xf>
    <xf numFmtId="0" fontId="82" fillId="0" borderId="0" xfId="0" applyFont="1" applyBorder="1"/>
    <xf numFmtId="44" fontId="82" fillId="0" borderId="15" xfId="9" applyFont="1" applyBorder="1"/>
    <xf numFmtId="0" fontId="82" fillId="0" borderId="0" xfId="13" applyFont="1"/>
    <xf numFmtId="44" fontId="84" fillId="0" borderId="15" xfId="9" applyFont="1" applyBorder="1"/>
    <xf numFmtId="43" fontId="82" fillId="0" borderId="9" xfId="1" applyFont="1" applyFill="1" applyBorder="1" applyAlignment="1">
      <alignment horizontal="left"/>
    </xf>
    <xf numFmtId="0" fontId="82" fillId="0" borderId="4" xfId="0" applyFont="1" applyBorder="1"/>
    <xf numFmtId="44" fontId="80" fillId="0" borderId="10" xfId="9" applyFont="1" applyBorder="1"/>
    <xf numFmtId="0" fontId="82" fillId="31" borderId="2" xfId="0" applyFont="1" applyFill="1" applyBorder="1" applyAlignment="1">
      <alignment horizontal="center" wrapText="1"/>
    </xf>
    <xf numFmtId="0" fontId="82" fillId="6" borderId="2" xfId="0" applyFont="1" applyFill="1" applyBorder="1" applyAlignment="1">
      <alignment horizontal="center" wrapText="1"/>
    </xf>
    <xf numFmtId="0" fontId="82" fillId="6" borderId="2" xfId="0" applyFont="1" applyFill="1" applyBorder="1"/>
    <xf numFmtId="0" fontId="80" fillId="11" borderId="0" xfId="0" applyFont="1" applyFill="1" applyAlignment="1">
      <alignment horizontal="right"/>
    </xf>
    <xf numFmtId="43" fontId="80" fillId="0" borderId="0" xfId="1" applyFont="1" applyFill="1"/>
    <xf numFmtId="43" fontId="82" fillId="19" borderId="0" xfId="2" applyFont="1" applyFill="1"/>
    <xf numFmtId="43" fontId="82" fillId="31" borderId="0" xfId="1" applyFont="1" applyFill="1"/>
    <xf numFmtId="43" fontId="85" fillId="0" borderId="0" xfId="1" applyFont="1" applyFill="1"/>
    <xf numFmtId="43" fontId="85" fillId="6" borderId="0" xfId="1" applyFont="1" applyFill="1"/>
    <xf numFmtId="0" fontId="85" fillId="6" borderId="0" xfId="0" applyFont="1" applyFill="1"/>
    <xf numFmtId="43" fontId="80" fillId="31" borderId="3" xfId="2" applyFont="1" applyFill="1" applyBorder="1"/>
    <xf numFmtId="4" fontId="82" fillId="0" borderId="0" xfId="0" applyNumberFormat="1" applyFont="1" applyFill="1" applyBorder="1"/>
    <xf numFmtId="0" fontId="82" fillId="0" borderId="0" xfId="0" applyFont="1" applyFill="1" applyBorder="1"/>
    <xf numFmtId="43" fontId="82" fillId="0" borderId="0" xfId="1" applyFont="1" applyFill="1" applyBorder="1"/>
    <xf numFmtId="0" fontId="82" fillId="0" borderId="14" xfId="0" applyFont="1" applyBorder="1"/>
    <xf numFmtId="44" fontId="84" fillId="0" borderId="15" xfId="9" applyFont="1" applyBorder="1" applyAlignment="1">
      <alignment horizontal="center"/>
    </xf>
    <xf numFmtId="0" fontId="12" fillId="0" borderId="22" xfId="0" quotePrefix="1" applyFont="1" applyBorder="1"/>
    <xf numFmtId="0" fontId="12" fillId="29" borderId="23" xfId="0" applyFont="1" applyFill="1" applyBorder="1"/>
    <xf numFmtId="43" fontId="12" fillId="0" borderId="23" xfId="2" applyFont="1" applyBorder="1"/>
    <xf numFmtId="164" fontId="12" fillId="0" borderId="23" xfId="21" applyNumberFormat="1" applyFont="1" applyBorder="1"/>
    <xf numFmtId="0" fontId="12" fillId="0" borderId="23" xfId="0" applyFont="1" applyFill="1" applyBorder="1"/>
    <xf numFmtId="43" fontId="12" fillId="0" borderId="23" xfId="1" applyFont="1" applyBorder="1"/>
    <xf numFmtId="0" fontId="12" fillId="6" borderId="24" xfId="0" applyFont="1" applyFill="1" applyBorder="1"/>
    <xf numFmtId="0" fontId="12" fillId="0" borderId="14" xfId="0" quotePrefix="1" applyFont="1" applyBorder="1"/>
    <xf numFmtId="0" fontId="12" fillId="29" borderId="0" xfId="0" applyFont="1" applyFill="1" applyBorder="1"/>
    <xf numFmtId="43" fontId="12" fillId="0" borderId="0" xfId="2" applyFont="1" applyBorder="1"/>
    <xf numFmtId="43" fontId="12" fillId="0" borderId="0" xfId="1" applyFont="1" applyBorder="1"/>
    <xf numFmtId="0" fontId="12" fillId="6" borderId="15" xfId="0" applyFont="1" applyFill="1" applyBorder="1"/>
    <xf numFmtId="43" fontId="17" fillId="0" borderId="0" xfId="2" applyFont="1" applyBorder="1"/>
    <xf numFmtId="43" fontId="17" fillId="0" borderId="0" xfId="1" applyFont="1" applyBorder="1"/>
    <xf numFmtId="4" fontId="12" fillId="29" borderId="0" xfId="0" applyNumberFormat="1" applyFont="1" applyFill="1" applyBorder="1"/>
    <xf numFmtId="0" fontId="12" fillId="0" borderId="15" xfId="0" applyFont="1" applyBorder="1"/>
    <xf numFmtId="0" fontId="12" fillId="0" borderId="32" xfId="0" applyFont="1" applyBorder="1"/>
    <xf numFmtId="0" fontId="13" fillId="0" borderId="33" xfId="0" applyFont="1" applyBorder="1" applyAlignment="1">
      <alignment horizontal="right"/>
    </xf>
    <xf numFmtId="4" fontId="13" fillId="0" borderId="33" xfId="0" applyNumberFormat="1" applyFont="1" applyBorder="1"/>
    <xf numFmtId="43" fontId="13" fillId="0" borderId="33" xfId="0" applyNumberFormat="1" applyFont="1" applyBorder="1"/>
    <xf numFmtId="0" fontId="13" fillId="0" borderId="33" xfId="0" applyFont="1" applyBorder="1"/>
    <xf numFmtId="0" fontId="13" fillId="0" borderId="33" xfId="0" applyFont="1" applyFill="1" applyBorder="1"/>
    <xf numFmtId="0" fontId="12" fillId="0" borderId="33" xfId="0" applyFont="1" applyBorder="1"/>
    <xf numFmtId="0" fontId="12" fillId="0" borderId="34" xfId="0" applyFont="1" applyBorder="1"/>
    <xf numFmtId="0" fontId="18" fillId="0" borderId="0" xfId="0" applyFont="1" applyAlignment="1">
      <alignment horizontal="right" wrapText="1"/>
    </xf>
    <xf numFmtId="0" fontId="18" fillId="0" borderId="0" xfId="0" applyFont="1" applyAlignment="1">
      <alignment wrapText="1"/>
    </xf>
    <xf numFmtId="43" fontId="72" fillId="0" borderId="0" xfId="13" applyNumberFormat="1" applyFont="1"/>
    <xf numFmtId="44" fontId="12" fillId="0" borderId="0" xfId="9" applyFont="1"/>
    <xf numFmtId="44" fontId="27" fillId="0" borderId="0" xfId="9" applyFont="1"/>
    <xf numFmtId="164" fontId="23" fillId="0" borderId="0" xfId="21" applyNumberFormat="1" applyFont="1" applyFill="1"/>
    <xf numFmtId="0" fontId="12" fillId="6" borderId="0" xfId="0" quotePrefix="1" applyFont="1" applyFill="1"/>
    <xf numFmtId="0" fontId="62" fillId="0" borderId="33" xfId="14" applyFont="1" applyFill="1" applyBorder="1" applyAlignment="1">
      <alignment horizontal="center" wrapText="1"/>
    </xf>
    <xf numFmtId="43" fontId="13" fillId="4" borderId="3" xfId="2" applyFont="1" applyFill="1" applyBorder="1"/>
    <xf numFmtId="0" fontId="53" fillId="0" borderId="0" xfId="27" applyFont="1" applyAlignment="1">
      <alignment horizontal="center"/>
    </xf>
    <xf numFmtId="0" fontId="71" fillId="0" borderId="2" xfId="13" applyFont="1" applyBorder="1" applyAlignment="1">
      <alignment horizontal="center"/>
    </xf>
    <xf numFmtId="0" fontId="73" fillId="0" borderId="0" xfId="13" applyFont="1" applyAlignment="1">
      <alignment horizontal="center"/>
    </xf>
    <xf numFmtId="0" fontId="73" fillId="0" borderId="17" xfId="13" applyFont="1" applyBorder="1" applyAlignment="1">
      <alignment horizontal="center"/>
    </xf>
    <xf numFmtId="0" fontId="73" fillId="0" borderId="18" xfId="13" applyFont="1" applyBorder="1" applyAlignment="1">
      <alignment horizontal="center"/>
    </xf>
    <xf numFmtId="0" fontId="73" fillId="0" borderId="19" xfId="13" applyFont="1" applyBorder="1" applyAlignment="1">
      <alignment horizontal="center"/>
    </xf>
    <xf numFmtId="0" fontId="73" fillId="0" borderId="20" xfId="13" applyFont="1" applyBorder="1" applyAlignment="1">
      <alignment horizontal="center"/>
    </xf>
    <xf numFmtId="0" fontId="6" fillId="0" borderId="17" xfId="13" applyFont="1" applyBorder="1" applyAlignment="1">
      <alignment horizontal="center"/>
    </xf>
    <xf numFmtId="0" fontId="80" fillId="0" borderId="11" xfId="0" applyFont="1" applyBorder="1" applyAlignment="1">
      <alignment horizontal="center"/>
    </xf>
    <xf numFmtId="0" fontId="80" fillId="0" borderId="3" xfId="0" applyFont="1" applyBorder="1" applyAlignment="1">
      <alignment horizontal="center"/>
    </xf>
    <xf numFmtId="0" fontId="80" fillId="0" borderId="12" xfId="0" applyFont="1" applyBorder="1" applyAlignment="1">
      <alignment horizontal="center"/>
    </xf>
    <xf numFmtId="0" fontId="81" fillId="6" borderId="2" xfId="0" applyFont="1" applyFill="1" applyBorder="1" applyAlignment="1">
      <alignment horizontal="center"/>
    </xf>
    <xf numFmtId="0" fontId="19" fillId="0" borderId="11" xfId="0" applyFont="1" applyBorder="1" applyAlignment="1">
      <alignment horizontal="center"/>
    </xf>
    <xf numFmtId="0" fontId="19" fillId="0" borderId="3" xfId="0" applyFont="1" applyBorder="1" applyAlignment="1">
      <alignment horizontal="center"/>
    </xf>
    <xf numFmtId="0" fontId="19" fillId="0" borderId="12" xfId="0" applyFont="1" applyBorder="1" applyAlignment="1">
      <alignment horizontal="center"/>
    </xf>
    <xf numFmtId="0" fontId="39" fillId="6" borderId="2" xfId="0" applyFont="1" applyFill="1" applyBorder="1" applyAlignment="1">
      <alignment horizontal="center"/>
    </xf>
    <xf numFmtId="0" fontId="40" fillId="6" borderId="2" xfId="0" applyFont="1" applyFill="1"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12" xfId="0" applyFont="1" applyBorder="1" applyAlignment="1">
      <alignment horizontal="center"/>
    </xf>
    <xf numFmtId="0" fontId="18" fillId="0" borderId="0" xfId="0" applyFont="1" applyBorder="1" applyAlignment="1">
      <alignment horizontal="right" wrapText="1"/>
    </xf>
    <xf numFmtId="0" fontId="18" fillId="0" borderId="15" xfId="0" applyFont="1" applyBorder="1" applyAlignment="1">
      <alignment horizontal="right" wrapText="1"/>
    </xf>
    <xf numFmtId="0" fontId="18" fillId="0" borderId="0" xfId="0" applyFont="1" applyAlignment="1">
      <alignment horizontal="right" wrapText="1"/>
    </xf>
    <xf numFmtId="0" fontId="13" fillId="0" borderId="2" xfId="0" applyFont="1" applyBorder="1" applyAlignment="1">
      <alignment horizontal="center"/>
    </xf>
    <xf numFmtId="0" fontId="6" fillId="0" borderId="13" xfId="14" applyFont="1" applyFill="1" applyBorder="1" applyAlignment="1">
      <alignment horizontal="center"/>
    </xf>
    <xf numFmtId="0" fontId="6" fillId="0" borderId="8" xfId="14" applyFont="1" applyFill="1" applyBorder="1" applyAlignment="1">
      <alignment horizontal="center"/>
    </xf>
    <xf numFmtId="0" fontId="6" fillId="0" borderId="16" xfId="14" applyFont="1" applyFill="1" applyBorder="1" applyAlignment="1">
      <alignment horizontal="center"/>
    </xf>
    <xf numFmtId="0" fontId="6" fillId="17" borderId="13" xfId="14" applyFont="1" applyFill="1" applyBorder="1" applyAlignment="1">
      <alignment horizontal="center"/>
    </xf>
    <xf numFmtId="0" fontId="6" fillId="17" borderId="8" xfId="14" applyFont="1" applyFill="1" applyBorder="1" applyAlignment="1">
      <alignment horizontal="center"/>
    </xf>
    <xf numFmtId="0" fontId="6" fillId="17" borderId="16" xfId="14" applyFont="1" applyFill="1" applyBorder="1" applyAlignment="1">
      <alignment horizontal="center"/>
    </xf>
    <xf numFmtId="0" fontId="6" fillId="6" borderId="13" xfId="14" applyFont="1" applyFill="1" applyBorder="1" applyAlignment="1">
      <alignment horizontal="center"/>
    </xf>
    <xf numFmtId="0" fontId="6" fillId="6" borderId="8" xfId="14" applyFont="1" applyFill="1" applyBorder="1" applyAlignment="1">
      <alignment horizontal="center"/>
    </xf>
    <xf numFmtId="0" fontId="6" fillId="6" borderId="16" xfId="14" applyFont="1" applyFill="1" applyBorder="1" applyAlignment="1">
      <alignment horizontal="center"/>
    </xf>
    <xf numFmtId="0" fontId="6" fillId="0" borderId="13" xfId="14" applyFont="1" applyBorder="1" applyAlignment="1">
      <alignment horizontal="center"/>
    </xf>
    <xf numFmtId="0" fontId="6" fillId="0" borderId="16" xfId="14" applyFont="1" applyBorder="1" applyAlignment="1">
      <alignment horizontal="center"/>
    </xf>
    <xf numFmtId="0" fontId="6" fillId="5" borderId="13" xfId="14" applyFont="1" applyFill="1" applyBorder="1" applyAlignment="1">
      <alignment horizontal="center"/>
    </xf>
    <xf numFmtId="0" fontId="6" fillId="5" borderId="8" xfId="14" applyFont="1" applyFill="1" applyBorder="1" applyAlignment="1">
      <alignment horizontal="center"/>
    </xf>
    <xf numFmtId="0" fontId="6" fillId="5" borderId="16" xfId="14" applyFont="1" applyFill="1" applyBorder="1" applyAlignment="1">
      <alignment horizontal="center"/>
    </xf>
    <xf numFmtId="0" fontId="6" fillId="31" borderId="13" xfId="14" applyFont="1" applyFill="1" applyBorder="1" applyAlignment="1">
      <alignment horizontal="center"/>
    </xf>
    <xf numFmtId="0" fontId="6" fillId="31" borderId="8" xfId="14" applyFont="1" applyFill="1" applyBorder="1" applyAlignment="1">
      <alignment horizontal="center"/>
    </xf>
    <xf numFmtId="0" fontId="6" fillId="31" borderId="16" xfId="14" applyFont="1" applyFill="1" applyBorder="1" applyAlignment="1">
      <alignment horizontal="center"/>
    </xf>
    <xf numFmtId="169" fontId="6" fillId="25" borderId="0" xfId="18" applyNumberFormat="1" applyFont="1" applyFill="1" applyAlignment="1">
      <alignment horizontal="center"/>
    </xf>
  </cellXfs>
  <cellStyles count="33">
    <cellStyle name="Comma" xfId="1" builtinId="3"/>
    <cellStyle name="Comma 2" xfId="2" xr:uid="{00000000-0005-0000-0000-000001000000}"/>
    <cellStyle name="Comma 2 2" xfId="3" xr:uid="{00000000-0005-0000-0000-000002000000}"/>
    <cellStyle name="Comma 2 3" xfId="26" xr:uid="{00000000-0005-0000-0000-000003000000}"/>
    <cellStyle name="Comma 3" xfId="4" xr:uid="{00000000-0005-0000-0000-000004000000}"/>
    <cellStyle name="Comma 4" xfId="5" xr:uid="{00000000-0005-0000-0000-000005000000}"/>
    <cellStyle name="Comma 5" xfId="6" xr:uid="{00000000-0005-0000-0000-000006000000}"/>
    <cellStyle name="Comma 6" xfId="7" xr:uid="{00000000-0005-0000-0000-000007000000}"/>
    <cellStyle name="Comma 7" xfId="8" xr:uid="{00000000-0005-0000-0000-000008000000}"/>
    <cellStyle name="Currency" xfId="9" builtinId="4"/>
    <cellStyle name="Currency 2" xfId="10" xr:uid="{00000000-0005-0000-0000-00000A000000}"/>
    <cellStyle name="Currency 2 2" xfId="31" xr:uid="{00000000-0005-0000-0000-00000B000000}"/>
    <cellStyle name="Currency 3" xfId="11" xr:uid="{00000000-0005-0000-0000-00000C000000}"/>
    <cellStyle name="Currency 4" xfId="12" xr:uid="{00000000-0005-0000-0000-00000D000000}"/>
    <cellStyle name="Currency 5" xfId="28" xr:uid="{00000000-0005-0000-0000-00000E000000}"/>
    <cellStyle name="Hyperlink" xfId="32" builtinId="8"/>
    <cellStyle name="Normal" xfId="0" builtinId="0"/>
    <cellStyle name="Normal 2" xfId="13" xr:uid="{00000000-0005-0000-0000-000011000000}"/>
    <cellStyle name="Normal 3" xfId="14" xr:uid="{00000000-0005-0000-0000-000012000000}"/>
    <cellStyle name="Normal 3 2" xfId="30" xr:uid="{00000000-0005-0000-0000-000013000000}"/>
    <cellStyle name="Normal 4" xfId="15" xr:uid="{00000000-0005-0000-0000-000014000000}"/>
    <cellStyle name="Normal 5" xfId="16" xr:uid="{00000000-0005-0000-0000-000015000000}"/>
    <cellStyle name="Normal 5 2" xfId="17" xr:uid="{00000000-0005-0000-0000-000016000000}"/>
    <cellStyle name="Normal 6" xfId="27" xr:uid="{00000000-0005-0000-0000-000017000000}"/>
    <cellStyle name="Normal 7" xfId="29" xr:uid="{00000000-0005-0000-0000-000018000000}"/>
    <cellStyle name="Normal_Sheet1_1" xfId="18" xr:uid="{00000000-0005-0000-0000-000019000000}"/>
    <cellStyle name="Normal_Sheet2" xfId="19" xr:uid="{00000000-0005-0000-0000-00001A000000}"/>
    <cellStyle name="Normal_Sheet2_1" xfId="20" xr:uid="{00000000-0005-0000-0000-00001B000000}"/>
    <cellStyle name="Percent" xfId="21" builtinId="5"/>
    <cellStyle name="Percent 2" xfId="22" xr:uid="{00000000-0005-0000-0000-00001D000000}"/>
    <cellStyle name="Percent 3" xfId="23" xr:uid="{00000000-0005-0000-0000-00001E000000}"/>
    <cellStyle name="Percent 4" xfId="24" xr:uid="{00000000-0005-0000-0000-00001F000000}"/>
    <cellStyle name="Percent 5" xfId="25" xr:uid="{00000000-0005-0000-0000-000020000000}"/>
  </cellStyles>
  <dxfs count="0"/>
  <tableStyles count="0" defaultTableStyle="TableStyleMedium9" defaultPivotStyle="PivotStyleLight16"/>
  <colors>
    <mruColors>
      <color rgb="FFCCECFF"/>
      <color rgb="FF66FFCC"/>
      <color rgb="FF33CCCC"/>
      <color rgb="FFFFFFFF"/>
      <color rgb="FFFFFFCC"/>
      <color rgb="FFCC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tmprubyk/Local%20Settings/Temporary%20Internet%20Files/OLK6/MH_9999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
      <sheetName val="8115 Directories"/>
      <sheetName val="8120 Advertising"/>
      <sheetName val="8125 Printing"/>
      <sheetName val="8126 Database Exp"/>
      <sheetName val="8128 Outside Graphics"/>
      <sheetName val="8130 Client Seminars and Recpt"/>
      <sheetName val="8135 Publications"/>
      <sheetName val="8145 Memberships"/>
      <sheetName val="8150 Client Relationship Teams"/>
      <sheetName val="8155 Client Dev Travel"/>
      <sheetName val="8160 Client Dev Meal &amp; Ent"/>
      <sheetName val="8630 Marketing Consulting"/>
      <sheetName val="8880 Community Relations"/>
    </sheetNames>
    <sheetDataSet>
      <sheetData sheetId="0">
        <row r="5">
          <cell r="B5" t="str">
            <v>January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8.bin"/><Relationship Id="rId1" Type="http://schemas.openxmlformats.org/officeDocument/2006/relationships/hyperlink" Target="mailto:2@G4/S4=20.05%2020hrswk/42%20wks" TargetMode="External"/><Relationship Id="rId4" Type="http://schemas.openxmlformats.org/officeDocument/2006/relationships/comments" Target="../comments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87"/>
  <sheetViews>
    <sheetView zoomScaleNormal="100" workbookViewId="0">
      <selection sqref="A1:I1"/>
    </sheetView>
  </sheetViews>
  <sheetFormatPr defaultRowHeight="20.25" x14ac:dyDescent="0.3"/>
  <cols>
    <col min="1" max="1" width="60.28515625" style="467" customWidth="1"/>
    <col min="2" max="2" width="19.85546875" style="467" customWidth="1"/>
    <col min="3" max="3" width="18.7109375" style="467" customWidth="1"/>
    <col min="4" max="4" width="19.140625" style="467" customWidth="1"/>
    <col min="5" max="5" width="19" style="467" customWidth="1"/>
    <col min="6" max="6" width="2" style="467" hidden="1" customWidth="1"/>
    <col min="7" max="7" width="18" style="469" customWidth="1"/>
    <col min="8" max="8" width="23.42578125" style="467" hidden="1" customWidth="1"/>
    <col min="9" max="9" width="23.42578125" style="469" hidden="1" customWidth="1"/>
    <col min="10" max="10" width="17.85546875" style="469" customWidth="1"/>
    <col min="11" max="15" width="17.5703125" style="469" hidden="1" customWidth="1"/>
    <col min="16" max="23" width="0" style="467" hidden="1" customWidth="1"/>
    <col min="24" max="262" width="9.140625" style="467"/>
    <col min="263" max="263" width="57.7109375" style="467" customWidth="1"/>
    <col min="264" max="264" width="15.5703125" style="467" bestFit="1" customWidth="1"/>
    <col min="265" max="265" width="24.42578125" style="467" bestFit="1" customWidth="1"/>
    <col min="266" max="518" width="9.140625" style="467"/>
    <col min="519" max="519" width="57.7109375" style="467" customWidth="1"/>
    <col min="520" max="520" width="15.5703125" style="467" bestFit="1" customWidth="1"/>
    <col min="521" max="521" width="24.42578125" style="467" bestFit="1" customWidth="1"/>
    <col min="522" max="774" width="9.140625" style="467"/>
    <col min="775" max="775" width="57.7109375" style="467" customWidth="1"/>
    <col min="776" max="776" width="15.5703125" style="467" bestFit="1" customWidth="1"/>
    <col min="777" max="777" width="24.42578125" style="467" bestFit="1" customWidth="1"/>
    <col min="778" max="1030" width="9.140625" style="467"/>
    <col min="1031" max="1031" width="57.7109375" style="467" customWidth="1"/>
    <col min="1032" max="1032" width="15.5703125" style="467" bestFit="1" customWidth="1"/>
    <col min="1033" max="1033" width="24.42578125" style="467" bestFit="1" customWidth="1"/>
    <col min="1034" max="1286" width="9.140625" style="467"/>
    <col min="1287" max="1287" width="57.7109375" style="467" customWidth="1"/>
    <col min="1288" max="1288" width="15.5703125" style="467" bestFit="1" customWidth="1"/>
    <col min="1289" max="1289" width="24.42578125" style="467" bestFit="1" customWidth="1"/>
    <col min="1290" max="1542" width="9.140625" style="467"/>
    <col min="1543" max="1543" width="57.7109375" style="467" customWidth="1"/>
    <col min="1544" max="1544" width="15.5703125" style="467" bestFit="1" customWidth="1"/>
    <col min="1545" max="1545" width="24.42578125" style="467" bestFit="1" customWidth="1"/>
    <col min="1546" max="1798" width="9.140625" style="467"/>
    <col min="1799" max="1799" width="57.7109375" style="467" customWidth="1"/>
    <col min="1800" max="1800" width="15.5703125" style="467" bestFit="1" customWidth="1"/>
    <col min="1801" max="1801" width="24.42578125" style="467" bestFit="1" customWidth="1"/>
    <col min="1802" max="2054" width="9.140625" style="467"/>
    <col min="2055" max="2055" width="57.7109375" style="467" customWidth="1"/>
    <col min="2056" max="2056" width="15.5703125" style="467" bestFit="1" customWidth="1"/>
    <col min="2057" max="2057" width="24.42578125" style="467" bestFit="1" customWidth="1"/>
    <col min="2058" max="2310" width="9.140625" style="467"/>
    <col min="2311" max="2311" width="57.7109375" style="467" customWidth="1"/>
    <col min="2312" max="2312" width="15.5703125" style="467" bestFit="1" customWidth="1"/>
    <col min="2313" max="2313" width="24.42578125" style="467" bestFit="1" customWidth="1"/>
    <col min="2314" max="2566" width="9.140625" style="467"/>
    <col min="2567" max="2567" width="57.7109375" style="467" customWidth="1"/>
    <col min="2568" max="2568" width="15.5703125" style="467" bestFit="1" customWidth="1"/>
    <col min="2569" max="2569" width="24.42578125" style="467" bestFit="1" customWidth="1"/>
    <col min="2570" max="2822" width="9.140625" style="467"/>
    <col min="2823" max="2823" width="57.7109375" style="467" customWidth="1"/>
    <col min="2824" max="2824" width="15.5703125" style="467" bestFit="1" customWidth="1"/>
    <col min="2825" max="2825" width="24.42578125" style="467" bestFit="1" customWidth="1"/>
    <col min="2826" max="3078" width="9.140625" style="467"/>
    <col min="3079" max="3079" width="57.7109375" style="467" customWidth="1"/>
    <col min="3080" max="3080" width="15.5703125" style="467" bestFit="1" customWidth="1"/>
    <col min="3081" max="3081" width="24.42578125" style="467" bestFit="1" customWidth="1"/>
    <col min="3082" max="3334" width="9.140625" style="467"/>
    <col min="3335" max="3335" width="57.7109375" style="467" customWidth="1"/>
    <col min="3336" max="3336" width="15.5703125" style="467" bestFit="1" customWidth="1"/>
    <col min="3337" max="3337" width="24.42578125" style="467" bestFit="1" customWidth="1"/>
    <col min="3338" max="3590" width="9.140625" style="467"/>
    <col min="3591" max="3591" width="57.7109375" style="467" customWidth="1"/>
    <col min="3592" max="3592" width="15.5703125" style="467" bestFit="1" customWidth="1"/>
    <col min="3593" max="3593" width="24.42578125" style="467" bestFit="1" customWidth="1"/>
    <col min="3594" max="3846" width="9.140625" style="467"/>
    <col min="3847" max="3847" width="57.7109375" style="467" customWidth="1"/>
    <col min="3848" max="3848" width="15.5703125" style="467" bestFit="1" customWidth="1"/>
    <col min="3849" max="3849" width="24.42578125" style="467" bestFit="1" customWidth="1"/>
    <col min="3850" max="4102" width="9.140625" style="467"/>
    <col min="4103" max="4103" width="57.7109375" style="467" customWidth="1"/>
    <col min="4104" max="4104" width="15.5703125" style="467" bestFit="1" customWidth="1"/>
    <col min="4105" max="4105" width="24.42578125" style="467" bestFit="1" customWidth="1"/>
    <col min="4106" max="4358" width="9.140625" style="467"/>
    <col min="4359" max="4359" width="57.7109375" style="467" customWidth="1"/>
    <col min="4360" max="4360" width="15.5703125" style="467" bestFit="1" customWidth="1"/>
    <col min="4361" max="4361" width="24.42578125" style="467" bestFit="1" customWidth="1"/>
    <col min="4362" max="4614" width="9.140625" style="467"/>
    <col min="4615" max="4615" width="57.7109375" style="467" customWidth="1"/>
    <col min="4616" max="4616" width="15.5703125" style="467" bestFit="1" customWidth="1"/>
    <col min="4617" max="4617" width="24.42578125" style="467" bestFit="1" customWidth="1"/>
    <col min="4618" max="4870" width="9.140625" style="467"/>
    <col min="4871" max="4871" width="57.7109375" style="467" customWidth="1"/>
    <col min="4872" max="4872" width="15.5703125" style="467" bestFit="1" customWidth="1"/>
    <col min="4873" max="4873" width="24.42578125" style="467" bestFit="1" customWidth="1"/>
    <col min="4874" max="5126" width="9.140625" style="467"/>
    <col min="5127" max="5127" width="57.7109375" style="467" customWidth="1"/>
    <col min="5128" max="5128" width="15.5703125" style="467" bestFit="1" customWidth="1"/>
    <col min="5129" max="5129" width="24.42578125" style="467" bestFit="1" customWidth="1"/>
    <col min="5130" max="5382" width="9.140625" style="467"/>
    <col min="5383" max="5383" width="57.7109375" style="467" customWidth="1"/>
    <col min="5384" max="5384" width="15.5703125" style="467" bestFit="1" customWidth="1"/>
    <col min="5385" max="5385" width="24.42578125" style="467" bestFit="1" customWidth="1"/>
    <col min="5386" max="5638" width="9.140625" style="467"/>
    <col min="5639" max="5639" width="57.7109375" style="467" customWidth="1"/>
    <col min="5640" max="5640" width="15.5703125" style="467" bestFit="1" customWidth="1"/>
    <col min="5641" max="5641" width="24.42578125" style="467" bestFit="1" customWidth="1"/>
    <col min="5642" max="5894" width="9.140625" style="467"/>
    <col min="5895" max="5895" width="57.7109375" style="467" customWidth="1"/>
    <col min="5896" max="5896" width="15.5703125" style="467" bestFit="1" customWidth="1"/>
    <col min="5897" max="5897" width="24.42578125" style="467" bestFit="1" customWidth="1"/>
    <col min="5898" max="6150" width="9.140625" style="467"/>
    <col min="6151" max="6151" width="57.7109375" style="467" customWidth="1"/>
    <col min="6152" max="6152" width="15.5703125" style="467" bestFit="1" customWidth="1"/>
    <col min="6153" max="6153" width="24.42578125" style="467" bestFit="1" customWidth="1"/>
    <col min="6154" max="6406" width="9.140625" style="467"/>
    <col min="6407" max="6407" width="57.7109375" style="467" customWidth="1"/>
    <col min="6408" max="6408" width="15.5703125" style="467" bestFit="1" customWidth="1"/>
    <col min="6409" max="6409" width="24.42578125" style="467" bestFit="1" customWidth="1"/>
    <col min="6410" max="6662" width="9.140625" style="467"/>
    <col min="6663" max="6663" width="57.7109375" style="467" customWidth="1"/>
    <col min="6664" max="6664" width="15.5703125" style="467" bestFit="1" customWidth="1"/>
    <col min="6665" max="6665" width="24.42578125" style="467" bestFit="1" customWidth="1"/>
    <col min="6666" max="6918" width="9.140625" style="467"/>
    <col min="6919" max="6919" width="57.7109375" style="467" customWidth="1"/>
    <col min="6920" max="6920" width="15.5703125" style="467" bestFit="1" customWidth="1"/>
    <col min="6921" max="6921" width="24.42578125" style="467" bestFit="1" customWidth="1"/>
    <col min="6922" max="7174" width="9.140625" style="467"/>
    <col min="7175" max="7175" width="57.7109375" style="467" customWidth="1"/>
    <col min="7176" max="7176" width="15.5703125" style="467" bestFit="1" customWidth="1"/>
    <col min="7177" max="7177" width="24.42578125" style="467" bestFit="1" customWidth="1"/>
    <col min="7178" max="7430" width="9.140625" style="467"/>
    <col min="7431" max="7431" width="57.7109375" style="467" customWidth="1"/>
    <col min="7432" max="7432" width="15.5703125" style="467" bestFit="1" customWidth="1"/>
    <col min="7433" max="7433" width="24.42578125" style="467" bestFit="1" customWidth="1"/>
    <col min="7434" max="7686" width="9.140625" style="467"/>
    <col min="7687" max="7687" width="57.7109375" style="467" customWidth="1"/>
    <col min="7688" max="7688" width="15.5703125" style="467" bestFit="1" customWidth="1"/>
    <col min="7689" max="7689" width="24.42578125" style="467" bestFit="1" customWidth="1"/>
    <col min="7690" max="7942" width="9.140625" style="467"/>
    <col min="7943" max="7943" width="57.7109375" style="467" customWidth="1"/>
    <col min="7944" max="7944" width="15.5703125" style="467" bestFit="1" customWidth="1"/>
    <col min="7945" max="7945" width="24.42578125" style="467" bestFit="1" customWidth="1"/>
    <col min="7946" max="8198" width="9.140625" style="467"/>
    <col min="8199" max="8199" width="57.7109375" style="467" customWidth="1"/>
    <col min="8200" max="8200" width="15.5703125" style="467" bestFit="1" customWidth="1"/>
    <col min="8201" max="8201" width="24.42578125" style="467" bestFit="1" customWidth="1"/>
    <col min="8202" max="8454" width="9.140625" style="467"/>
    <col min="8455" max="8455" width="57.7109375" style="467" customWidth="1"/>
    <col min="8456" max="8456" width="15.5703125" style="467" bestFit="1" customWidth="1"/>
    <col min="8457" max="8457" width="24.42578125" style="467" bestFit="1" customWidth="1"/>
    <col min="8458" max="8710" width="9.140625" style="467"/>
    <col min="8711" max="8711" width="57.7109375" style="467" customWidth="1"/>
    <col min="8712" max="8712" width="15.5703125" style="467" bestFit="1" customWidth="1"/>
    <col min="8713" max="8713" width="24.42578125" style="467" bestFit="1" customWidth="1"/>
    <col min="8714" max="8966" width="9.140625" style="467"/>
    <col min="8967" max="8967" width="57.7109375" style="467" customWidth="1"/>
    <col min="8968" max="8968" width="15.5703125" style="467" bestFit="1" customWidth="1"/>
    <col min="8969" max="8969" width="24.42578125" style="467" bestFit="1" customWidth="1"/>
    <col min="8970" max="9222" width="9.140625" style="467"/>
    <col min="9223" max="9223" width="57.7109375" style="467" customWidth="1"/>
    <col min="9224" max="9224" width="15.5703125" style="467" bestFit="1" customWidth="1"/>
    <col min="9225" max="9225" width="24.42578125" style="467" bestFit="1" customWidth="1"/>
    <col min="9226" max="9478" width="9.140625" style="467"/>
    <col min="9479" max="9479" width="57.7109375" style="467" customWidth="1"/>
    <col min="9480" max="9480" width="15.5703125" style="467" bestFit="1" customWidth="1"/>
    <col min="9481" max="9481" width="24.42578125" style="467" bestFit="1" customWidth="1"/>
    <col min="9482" max="9734" width="9.140625" style="467"/>
    <col min="9735" max="9735" width="57.7109375" style="467" customWidth="1"/>
    <col min="9736" max="9736" width="15.5703125" style="467" bestFit="1" customWidth="1"/>
    <col min="9737" max="9737" width="24.42578125" style="467" bestFit="1" customWidth="1"/>
    <col min="9738" max="9990" width="9.140625" style="467"/>
    <col min="9991" max="9991" width="57.7109375" style="467" customWidth="1"/>
    <col min="9992" max="9992" width="15.5703125" style="467" bestFit="1" customWidth="1"/>
    <col min="9993" max="9993" width="24.42578125" style="467" bestFit="1" customWidth="1"/>
    <col min="9994" max="10246" width="9.140625" style="467"/>
    <col min="10247" max="10247" width="57.7109375" style="467" customWidth="1"/>
    <col min="10248" max="10248" width="15.5703125" style="467" bestFit="1" customWidth="1"/>
    <col min="10249" max="10249" width="24.42578125" style="467" bestFit="1" customWidth="1"/>
    <col min="10250" max="10502" width="9.140625" style="467"/>
    <col min="10503" max="10503" width="57.7109375" style="467" customWidth="1"/>
    <col min="10504" max="10504" width="15.5703125" style="467" bestFit="1" customWidth="1"/>
    <col min="10505" max="10505" width="24.42578125" style="467" bestFit="1" customWidth="1"/>
    <col min="10506" max="10758" width="9.140625" style="467"/>
    <col min="10759" max="10759" width="57.7109375" style="467" customWidth="1"/>
    <col min="10760" max="10760" width="15.5703125" style="467" bestFit="1" customWidth="1"/>
    <col min="10761" max="10761" width="24.42578125" style="467" bestFit="1" customWidth="1"/>
    <col min="10762" max="11014" width="9.140625" style="467"/>
    <col min="11015" max="11015" width="57.7109375" style="467" customWidth="1"/>
    <col min="11016" max="11016" width="15.5703125" style="467" bestFit="1" customWidth="1"/>
    <col min="11017" max="11017" width="24.42578125" style="467" bestFit="1" customWidth="1"/>
    <col min="11018" max="11270" width="9.140625" style="467"/>
    <col min="11271" max="11271" width="57.7109375" style="467" customWidth="1"/>
    <col min="11272" max="11272" width="15.5703125" style="467" bestFit="1" customWidth="1"/>
    <col min="11273" max="11273" width="24.42578125" style="467" bestFit="1" customWidth="1"/>
    <col min="11274" max="11526" width="9.140625" style="467"/>
    <col min="11527" max="11527" width="57.7109375" style="467" customWidth="1"/>
    <col min="11528" max="11528" width="15.5703125" style="467" bestFit="1" customWidth="1"/>
    <col min="11529" max="11529" width="24.42578125" style="467" bestFit="1" customWidth="1"/>
    <col min="11530" max="11782" width="9.140625" style="467"/>
    <col min="11783" max="11783" width="57.7109375" style="467" customWidth="1"/>
    <col min="11784" max="11784" width="15.5703125" style="467" bestFit="1" customWidth="1"/>
    <col min="11785" max="11785" width="24.42578125" style="467" bestFit="1" customWidth="1"/>
    <col min="11786" max="12038" width="9.140625" style="467"/>
    <col min="12039" max="12039" width="57.7109375" style="467" customWidth="1"/>
    <col min="12040" max="12040" width="15.5703125" style="467" bestFit="1" customWidth="1"/>
    <col min="12041" max="12041" width="24.42578125" style="467" bestFit="1" customWidth="1"/>
    <col min="12042" max="12294" width="9.140625" style="467"/>
    <col min="12295" max="12295" width="57.7109375" style="467" customWidth="1"/>
    <col min="12296" max="12296" width="15.5703125" style="467" bestFit="1" customWidth="1"/>
    <col min="12297" max="12297" width="24.42578125" style="467" bestFit="1" customWidth="1"/>
    <col min="12298" max="12550" width="9.140625" style="467"/>
    <col min="12551" max="12551" width="57.7109375" style="467" customWidth="1"/>
    <col min="12552" max="12552" width="15.5703125" style="467" bestFit="1" customWidth="1"/>
    <col min="12553" max="12553" width="24.42578125" style="467" bestFit="1" customWidth="1"/>
    <col min="12554" max="12806" width="9.140625" style="467"/>
    <col min="12807" max="12807" width="57.7109375" style="467" customWidth="1"/>
    <col min="12808" max="12808" width="15.5703125" style="467" bestFit="1" customWidth="1"/>
    <col min="12809" max="12809" width="24.42578125" style="467" bestFit="1" customWidth="1"/>
    <col min="12810" max="13062" width="9.140625" style="467"/>
    <col min="13063" max="13063" width="57.7109375" style="467" customWidth="1"/>
    <col min="13064" max="13064" width="15.5703125" style="467" bestFit="1" customWidth="1"/>
    <col min="13065" max="13065" width="24.42578125" style="467" bestFit="1" customWidth="1"/>
    <col min="13066" max="13318" width="9.140625" style="467"/>
    <col min="13319" max="13319" width="57.7109375" style="467" customWidth="1"/>
    <col min="13320" max="13320" width="15.5703125" style="467" bestFit="1" customWidth="1"/>
    <col min="13321" max="13321" width="24.42578125" style="467" bestFit="1" customWidth="1"/>
    <col min="13322" max="13574" width="9.140625" style="467"/>
    <col min="13575" max="13575" width="57.7109375" style="467" customWidth="1"/>
    <col min="13576" max="13576" width="15.5703125" style="467" bestFit="1" customWidth="1"/>
    <col min="13577" max="13577" width="24.42578125" style="467" bestFit="1" customWidth="1"/>
    <col min="13578" max="13830" width="9.140625" style="467"/>
    <col min="13831" max="13831" width="57.7109375" style="467" customWidth="1"/>
    <col min="13832" max="13832" width="15.5703125" style="467" bestFit="1" customWidth="1"/>
    <col min="13833" max="13833" width="24.42578125" style="467" bestFit="1" customWidth="1"/>
    <col min="13834" max="14086" width="9.140625" style="467"/>
    <col min="14087" max="14087" width="57.7109375" style="467" customWidth="1"/>
    <col min="14088" max="14088" width="15.5703125" style="467" bestFit="1" customWidth="1"/>
    <col min="14089" max="14089" width="24.42578125" style="467" bestFit="1" customWidth="1"/>
    <col min="14090" max="14342" width="9.140625" style="467"/>
    <col min="14343" max="14343" width="57.7109375" style="467" customWidth="1"/>
    <col min="14344" max="14344" width="15.5703125" style="467" bestFit="1" customWidth="1"/>
    <col min="14345" max="14345" width="24.42578125" style="467" bestFit="1" customWidth="1"/>
    <col min="14346" max="14598" width="9.140625" style="467"/>
    <col min="14599" max="14599" width="57.7109375" style="467" customWidth="1"/>
    <col min="14600" max="14600" width="15.5703125" style="467" bestFit="1" customWidth="1"/>
    <col min="14601" max="14601" width="24.42578125" style="467" bestFit="1" customWidth="1"/>
    <col min="14602" max="14854" width="9.140625" style="467"/>
    <col min="14855" max="14855" width="57.7109375" style="467" customWidth="1"/>
    <col min="14856" max="14856" width="15.5703125" style="467" bestFit="1" customWidth="1"/>
    <col min="14857" max="14857" width="24.42578125" style="467" bestFit="1" customWidth="1"/>
    <col min="14858" max="15110" width="9.140625" style="467"/>
    <col min="15111" max="15111" width="57.7109375" style="467" customWidth="1"/>
    <col min="15112" max="15112" width="15.5703125" style="467" bestFit="1" customWidth="1"/>
    <col min="15113" max="15113" width="24.42578125" style="467" bestFit="1" customWidth="1"/>
    <col min="15114" max="15366" width="9.140625" style="467"/>
    <col min="15367" max="15367" width="57.7109375" style="467" customWidth="1"/>
    <col min="15368" max="15368" width="15.5703125" style="467" bestFit="1" customWidth="1"/>
    <col min="15369" max="15369" width="24.42578125" style="467" bestFit="1" customWidth="1"/>
    <col min="15370" max="15622" width="9.140625" style="467"/>
    <col min="15623" max="15623" width="57.7109375" style="467" customWidth="1"/>
    <col min="15624" max="15624" width="15.5703125" style="467" bestFit="1" customWidth="1"/>
    <col min="15625" max="15625" width="24.42578125" style="467" bestFit="1" customWidth="1"/>
    <col min="15626" max="15878" width="9.140625" style="467"/>
    <col min="15879" max="15879" width="57.7109375" style="467" customWidth="1"/>
    <col min="15880" max="15880" width="15.5703125" style="467" bestFit="1" customWidth="1"/>
    <col min="15881" max="15881" width="24.42578125" style="467" bestFit="1" customWidth="1"/>
    <col min="15882" max="16134" width="9.140625" style="467"/>
    <col min="16135" max="16135" width="57.7109375" style="467" customWidth="1"/>
    <col min="16136" max="16136" width="15.5703125" style="467" bestFit="1" customWidth="1"/>
    <col min="16137" max="16137" width="24.42578125" style="467" bestFit="1" customWidth="1"/>
    <col min="16138" max="16384" width="9.140625" style="467"/>
  </cols>
  <sheetData>
    <row r="1" spans="1:16" ht="33" x14ac:dyDescent="0.45">
      <c r="A1" s="790" t="s">
        <v>939</v>
      </c>
      <c r="B1" s="790"/>
      <c r="C1" s="790"/>
      <c r="D1" s="790"/>
      <c r="E1" s="790"/>
      <c r="F1" s="790"/>
      <c r="G1" s="790"/>
      <c r="H1" s="790"/>
      <c r="I1" s="790"/>
      <c r="J1" s="467"/>
      <c r="K1" s="467"/>
      <c r="L1" s="467"/>
      <c r="M1" s="467"/>
      <c r="N1" s="467"/>
      <c r="O1" s="467"/>
    </row>
    <row r="2" spans="1:16" x14ac:dyDescent="0.3">
      <c r="A2" s="468"/>
      <c r="B2" s="468"/>
      <c r="C2" s="468"/>
      <c r="D2" s="468"/>
      <c r="E2" s="468"/>
      <c r="F2" s="468"/>
      <c r="H2" s="468"/>
    </row>
    <row r="3" spans="1:16" ht="18.75" x14ac:dyDescent="0.3">
      <c r="A3" s="470"/>
      <c r="B3" s="471">
        <v>43465</v>
      </c>
      <c r="C3" s="471">
        <v>43281</v>
      </c>
      <c r="D3" s="471">
        <v>42916</v>
      </c>
      <c r="E3" s="471">
        <v>42551</v>
      </c>
      <c r="F3" s="471">
        <v>42369</v>
      </c>
      <c r="G3" s="471">
        <v>42185</v>
      </c>
      <c r="H3" s="471">
        <v>42004</v>
      </c>
      <c r="I3" s="471">
        <v>41639</v>
      </c>
      <c r="J3" s="471">
        <v>41820</v>
      </c>
      <c r="K3" s="471">
        <v>41455</v>
      </c>
      <c r="L3" s="471">
        <v>41090</v>
      </c>
      <c r="M3" s="471">
        <v>40724</v>
      </c>
      <c r="N3" s="471">
        <v>40359</v>
      </c>
      <c r="O3" s="471">
        <v>39994</v>
      </c>
    </row>
    <row r="4" spans="1:16" ht="18.75" x14ac:dyDescent="0.3">
      <c r="A4" s="492" t="s">
        <v>113</v>
      </c>
      <c r="B4" s="472">
        <v>499805.4</v>
      </c>
      <c r="C4" s="472">
        <v>639261</v>
      </c>
      <c r="D4" s="472">
        <v>900878</v>
      </c>
      <c r="E4" s="472">
        <v>659002</v>
      </c>
      <c r="F4" s="472">
        <v>540359.05000000005</v>
      </c>
      <c r="G4" s="472">
        <v>612353</v>
      </c>
      <c r="H4" s="472">
        <v>625971</v>
      </c>
      <c r="I4" s="472">
        <v>369034</v>
      </c>
      <c r="J4" s="472">
        <v>799548</v>
      </c>
      <c r="K4" s="472">
        <v>558034</v>
      </c>
      <c r="L4" s="472">
        <v>86792</v>
      </c>
      <c r="M4" s="472">
        <v>260975</v>
      </c>
      <c r="N4" s="472">
        <v>413930</v>
      </c>
      <c r="O4" s="472">
        <v>439307</v>
      </c>
      <c r="P4" s="473"/>
    </row>
    <row r="5" spans="1:16" s="469" customFormat="1" x14ac:dyDescent="0.3">
      <c r="A5" s="474"/>
      <c r="B5" s="474"/>
      <c r="C5" s="475"/>
      <c r="D5" s="475"/>
      <c r="E5" s="475"/>
      <c r="F5" s="475"/>
      <c r="G5" s="475"/>
      <c r="H5" s="475"/>
      <c r="I5" s="475"/>
      <c r="J5" s="475"/>
      <c r="K5" s="475"/>
      <c r="L5" s="475"/>
      <c r="M5" s="475"/>
      <c r="N5" s="475"/>
      <c r="O5" s="475"/>
      <c r="P5" s="476"/>
    </row>
    <row r="6" spans="1:16" s="469" customFormat="1" x14ac:dyDescent="0.3">
      <c r="A6" s="495" t="s">
        <v>1720</v>
      </c>
      <c r="B6" s="477">
        <v>761794.04</v>
      </c>
      <c r="C6" s="477">
        <v>904899.43</v>
      </c>
      <c r="D6" s="477">
        <v>568078.32999999996</v>
      </c>
      <c r="E6" s="477">
        <v>637069.25</v>
      </c>
      <c r="F6" s="477">
        <v>40000</v>
      </c>
      <c r="G6" s="477">
        <v>353661.07</v>
      </c>
      <c r="H6" s="477">
        <v>40000</v>
      </c>
      <c r="I6" s="477">
        <v>40000</v>
      </c>
      <c r="J6" s="477">
        <v>318180.44</v>
      </c>
      <c r="K6" s="477"/>
      <c r="L6" s="477"/>
      <c r="M6" s="477"/>
      <c r="N6" s="477"/>
      <c r="O6" s="477"/>
      <c r="P6" s="476"/>
    </row>
    <row r="7" spans="1:16" s="469" customFormat="1" x14ac:dyDescent="0.3">
      <c r="A7" s="474"/>
      <c r="B7" s="474"/>
      <c r="C7" s="475"/>
      <c r="D7" s="475"/>
      <c r="E7" s="475"/>
      <c r="F7" s="475"/>
      <c r="G7" s="475"/>
      <c r="H7" s="475"/>
      <c r="I7" s="475"/>
      <c r="J7" s="475"/>
      <c r="K7" s="475"/>
      <c r="L7" s="475"/>
      <c r="M7" s="475"/>
      <c r="N7" s="475"/>
      <c r="O7" s="475"/>
      <c r="P7" s="476"/>
    </row>
    <row r="8" spans="1:16" s="469" customFormat="1" x14ac:dyDescent="0.3">
      <c r="A8" s="494" t="s">
        <v>1923</v>
      </c>
      <c r="B8" s="494"/>
      <c r="C8" s="478">
        <v>-15095.85</v>
      </c>
      <c r="D8" s="478">
        <v>20767.259999999998</v>
      </c>
      <c r="E8" s="478">
        <v>69427.39</v>
      </c>
      <c r="F8" s="478">
        <v>30000</v>
      </c>
      <c r="G8" s="478">
        <v>46311.360000000001</v>
      </c>
      <c r="H8" s="478"/>
      <c r="I8" s="478"/>
      <c r="J8" s="478">
        <v>14569.27</v>
      </c>
      <c r="K8" s="478"/>
      <c r="L8" s="478"/>
      <c r="M8" s="478"/>
      <c r="N8" s="478"/>
      <c r="O8" s="478"/>
      <c r="P8" s="476"/>
    </row>
    <row r="9" spans="1:16" s="469" customFormat="1" x14ac:dyDescent="0.3">
      <c r="A9" s="480"/>
      <c r="B9" s="480"/>
      <c r="C9" s="475"/>
      <c r="D9" s="475"/>
      <c r="E9" s="475"/>
      <c r="F9" s="475"/>
      <c r="G9" s="475"/>
      <c r="H9" s="475"/>
      <c r="I9" s="475"/>
      <c r="J9" s="475"/>
      <c r="K9" s="475"/>
      <c r="L9" s="475"/>
      <c r="M9" s="475"/>
      <c r="N9" s="475"/>
      <c r="O9" s="475"/>
      <c r="P9" s="476"/>
    </row>
    <row r="10" spans="1:16" s="469" customFormat="1" x14ac:dyDescent="0.3">
      <c r="A10" s="489" t="s">
        <v>1110</v>
      </c>
      <c r="B10" s="489"/>
      <c r="C10" s="484"/>
      <c r="D10" s="484"/>
      <c r="E10" s="484">
        <v>-449880.39</v>
      </c>
      <c r="F10" s="484"/>
      <c r="G10" s="484"/>
      <c r="H10" s="484">
        <v>98139</v>
      </c>
      <c r="I10" s="484"/>
      <c r="J10" s="484"/>
      <c r="K10" s="484"/>
      <c r="L10" s="484"/>
      <c r="M10" s="484"/>
      <c r="N10" s="484"/>
      <c r="O10" s="484"/>
      <c r="P10" s="476"/>
    </row>
    <row r="11" spans="1:16" s="469" customFormat="1" x14ac:dyDescent="0.3">
      <c r="A11" s="480"/>
      <c r="B11" s="480"/>
      <c r="C11" s="475"/>
      <c r="D11" s="475"/>
      <c r="E11" s="475"/>
      <c r="F11" s="475"/>
      <c r="G11" s="475"/>
      <c r="H11" s="475"/>
      <c r="I11" s="475"/>
      <c r="J11" s="475"/>
      <c r="K11" s="475"/>
      <c r="L11" s="475"/>
      <c r="M11" s="475"/>
      <c r="N11" s="475"/>
      <c r="O11" s="475"/>
      <c r="P11" s="476"/>
    </row>
    <row r="12" spans="1:16" s="469" customFormat="1" x14ac:dyDescent="0.3">
      <c r="A12" s="463" t="s">
        <v>1933</v>
      </c>
      <c r="B12" s="463"/>
      <c r="C12" s="485">
        <f>SUM(C13:C16)</f>
        <v>965359.65</v>
      </c>
      <c r="D12" s="485">
        <f t="shared" ref="D12:O12" si="0">SUM(D13:D16)</f>
        <v>794570.42</v>
      </c>
      <c r="E12" s="485">
        <f>SUM(E13:E16)</f>
        <v>595558.68000000005</v>
      </c>
      <c r="F12" s="485">
        <f t="shared" si="0"/>
        <v>0</v>
      </c>
      <c r="G12" s="485">
        <f t="shared" si="0"/>
        <v>370808.14</v>
      </c>
      <c r="H12" s="485">
        <f t="shared" si="0"/>
        <v>0</v>
      </c>
      <c r="I12" s="485">
        <f t="shared" si="0"/>
        <v>0</v>
      </c>
      <c r="J12" s="485">
        <f t="shared" si="0"/>
        <v>909870.03</v>
      </c>
      <c r="K12" s="485">
        <f t="shared" si="0"/>
        <v>0</v>
      </c>
      <c r="L12" s="485">
        <f t="shared" si="0"/>
        <v>0</v>
      </c>
      <c r="M12" s="485">
        <f t="shared" si="0"/>
        <v>0</v>
      </c>
      <c r="N12" s="485">
        <f t="shared" si="0"/>
        <v>0</v>
      </c>
      <c r="O12" s="485">
        <f t="shared" si="0"/>
        <v>0</v>
      </c>
    </row>
    <row r="13" spans="1:16" ht="15" x14ac:dyDescent="0.25">
      <c r="A13" s="500" t="s">
        <v>1894</v>
      </c>
      <c r="B13" s="500"/>
      <c r="C13" s="501">
        <v>771053.96</v>
      </c>
      <c r="D13" s="501">
        <v>653341.02</v>
      </c>
      <c r="E13" s="501">
        <v>524339.79</v>
      </c>
      <c r="F13" s="501"/>
      <c r="G13" s="501">
        <v>359560.25</v>
      </c>
      <c r="H13" s="501"/>
      <c r="I13" s="501"/>
      <c r="J13" s="501">
        <v>730483.14</v>
      </c>
      <c r="K13" s="501"/>
      <c r="L13" s="501"/>
      <c r="M13" s="460"/>
      <c r="N13" s="460"/>
      <c r="O13" s="460"/>
    </row>
    <row r="14" spans="1:16" ht="15" x14ac:dyDescent="0.25">
      <c r="A14" s="500" t="s">
        <v>1895</v>
      </c>
      <c r="B14" s="500"/>
      <c r="C14" s="501">
        <v>2054.13</v>
      </c>
      <c r="D14" s="501">
        <v>19554.13</v>
      </c>
      <c r="E14" s="501">
        <v>2267.13</v>
      </c>
      <c r="F14" s="501"/>
      <c r="G14" s="501">
        <v>3370.13</v>
      </c>
      <c r="H14" s="501"/>
      <c r="I14" s="501"/>
      <c r="J14" s="501">
        <v>171083.13</v>
      </c>
      <c r="K14" s="501"/>
      <c r="L14" s="501"/>
      <c r="M14" s="460"/>
      <c r="N14" s="460"/>
      <c r="O14" s="460"/>
    </row>
    <row r="15" spans="1:16" ht="15" x14ac:dyDescent="0.25">
      <c r="A15" s="500" t="s">
        <v>1896</v>
      </c>
      <c r="B15" s="500"/>
      <c r="C15" s="501">
        <v>105384.43</v>
      </c>
      <c r="D15" s="501">
        <v>67308.14</v>
      </c>
      <c r="E15" s="501">
        <v>31771.63</v>
      </c>
      <c r="F15" s="501"/>
      <c r="G15" s="501">
        <v>2984.63</v>
      </c>
      <c r="H15" s="501"/>
      <c r="I15" s="501"/>
      <c r="J15" s="501">
        <v>5697.63</v>
      </c>
      <c r="K15" s="501"/>
      <c r="L15" s="501"/>
      <c r="M15" s="460"/>
      <c r="N15" s="460"/>
      <c r="O15" s="460"/>
    </row>
    <row r="16" spans="1:16" ht="15" x14ac:dyDescent="0.25">
      <c r="A16" s="500" t="s">
        <v>1897</v>
      </c>
      <c r="B16" s="500"/>
      <c r="C16" s="501">
        <v>86867.13</v>
      </c>
      <c r="D16" s="501">
        <v>54367.13</v>
      </c>
      <c r="E16" s="501">
        <v>37180.129999999997</v>
      </c>
      <c r="F16" s="501"/>
      <c r="G16" s="501">
        <v>4893.13</v>
      </c>
      <c r="H16" s="501"/>
      <c r="I16" s="501"/>
      <c r="J16" s="501">
        <v>2606.13</v>
      </c>
      <c r="K16" s="501"/>
      <c r="L16" s="501"/>
      <c r="M16" s="460"/>
      <c r="N16" s="460"/>
      <c r="O16" s="460"/>
    </row>
    <row r="17" spans="1:16" ht="15.75" x14ac:dyDescent="0.25">
      <c r="A17" s="441"/>
      <c r="B17" s="441"/>
      <c r="C17" s="276"/>
      <c r="D17" s="460"/>
      <c r="E17" s="460"/>
      <c r="F17" s="460"/>
      <c r="G17" s="460"/>
      <c r="H17" s="460"/>
      <c r="I17" s="460"/>
      <c r="J17" s="460"/>
      <c r="K17" s="460"/>
      <c r="L17" s="460"/>
      <c r="M17" s="460"/>
      <c r="N17" s="460"/>
      <c r="O17" s="460"/>
    </row>
    <row r="18" spans="1:16" s="496" customFormat="1" ht="15.75" x14ac:dyDescent="0.25">
      <c r="A18" s="497" t="s">
        <v>1934</v>
      </c>
      <c r="B18" s="497"/>
      <c r="C18" s="498">
        <v>306958.3</v>
      </c>
      <c r="D18" s="498">
        <v>720635.47</v>
      </c>
      <c r="E18" s="498">
        <v>638839.98</v>
      </c>
      <c r="F18" s="498"/>
      <c r="G18" s="498">
        <v>620284.67000000004</v>
      </c>
      <c r="H18" s="498"/>
      <c r="I18" s="498"/>
      <c r="J18" s="498">
        <v>344471.77</v>
      </c>
      <c r="K18" s="498"/>
      <c r="L18" s="498"/>
      <c r="M18" s="498"/>
      <c r="N18" s="498"/>
      <c r="O18" s="498"/>
    </row>
    <row r="19" spans="1:16" s="469" customFormat="1" x14ac:dyDescent="0.3">
      <c r="A19" s="487"/>
      <c r="B19" s="487"/>
      <c r="C19" s="475"/>
      <c r="D19" s="475"/>
      <c r="E19" s="475"/>
      <c r="F19" s="475"/>
      <c r="G19" s="475"/>
      <c r="H19" s="475"/>
      <c r="I19" s="475"/>
      <c r="J19" s="475"/>
      <c r="K19" s="475"/>
      <c r="L19" s="475"/>
      <c r="M19" s="475"/>
      <c r="N19" s="475"/>
      <c r="O19" s="475"/>
      <c r="P19" s="476"/>
    </row>
    <row r="20" spans="1:16" s="469" customFormat="1" x14ac:dyDescent="0.3">
      <c r="A20" s="459" t="s">
        <v>1908</v>
      </c>
      <c r="B20" s="459"/>
      <c r="C20" s="461">
        <f>SUM(C21:C32)</f>
        <v>96448.12000000001</v>
      </c>
      <c r="D20" s="461">
        <f>SUM(D21:F32)</f>
        <v>225094.89</v>
      </c>
      <c r="E20" s="461">
        <f>SUM(E21:G32)</f>
        <v>210699.68</v>
      </c>
      <c r="F20" s="461" t="e">
        <f>SUM(#REF!)</f>
        <v>#REF!</v>
      </c>
      <c r="G20" s="461">
        <f>SUM(G21:I32)</f>
        <v>97144.97</v>
      </c>
      <c r="H20" s="461" t="e">
        <f>SUM(#REF!)</f>
        <v>#REF!</v>
      </c>
      <c r="I20" s="461" t="e">
        <f>SUM(#REF!)</f>
        <v>#REF!</v>
      </c>
      <c r="J20" s="461">
        <f>SUM(J21:J32)</f>
        <v>112342.31</v>
      </c>
      <c r="K20" s="461"/>
      <c r="L20" s="461"/>
      <c r="M20" s="461"/>
      <c r="N20" s="461"/>
      <c r="O20" s="461"/>
    </row>
    <row r="21" spans="1:16" ht="15" x14ac:dyDescent="0.25">
      <c r="A21" s="500" t="s">
        <v>1898</v>
      </c>
      <c r="B21" s="500"/>
      <c r="C21" s="501">
        <v>593.24</v>
      </c>
      <c r="D21" s="501">
        <v>605.25</v>
      </c>
      <c r="E21" s="501">
        <v>605.25</v>
      </c>
      <c r="F21" s="501"/>
      <c r="G21" s="501">
        <v>605.25</v>
      </c>
      <c r="H21" s="501"/>
      <c r="I21" s="501"/>
      <c r="J21" s="501">
        <v>605.25</v>
      </c>
      <c r="K21" s="501"/>
      <c r="L21" s="501"/>
      <c r="M21" s="460"/>
      <c r="N21" s="460"/>
      <c r="O21" s="460"/>
    </row>
    <row r="22" spans="1:16" ht="15" x14ac:dyDescent="0.25">
      <c r="A22" s="500" t="s">
        <v>1899</v>
      </c>
      <c r="B22" s="500"/>
      <c r="C22" s="501">
        <v>2242.02</v>
      </c>
      <c r="D22" s="501">
        <v>2242.02</v>
      </c>
      <c r="E22" s="501">
        <v>2242.02</v>
      </c>
      <c r="F22" s="501"/>
      <c r="G22" s="501">
        <v>2242.02</v>
      </c>
      <c r="H22" s="501"/>
      <c r="I22" s="501"/>
      <c r="J22" s="501">
        <v>2242.02</v>
      </c>
      <c r="K22" s="501"/>
      <c r="L22" s="501"/>
      <c r="M22" s="460"/>
      <c r="N22" s="460"/>
      <c r="O22" s="460"/>
    </row>
    <row r="23" spans="1:16" ht="15" x14ac:dyDescent="0.25">
      <c r="A23" s="500" t="s">
        <v>1900</v>
      </c>
      <c r="B23" s="500"/>
      <c r="C23" s="501">
        <v>2352.96</v>
      </c>
      <c r="D23" s="501">
        <v>1858.16</v>
      </c>
      <c r="E23" s="501">
        <v>1618.16</v>
      </c>
      <c r="F23" s="501"/>
      <c r="G23" s="501">
        <v>2188.16</v>
      </c>
      <c r="H23" s="501"/>
      <c r="I23" s="501"/>
      <c r="J23" s="501">
        <v>1534.16</v>
      </c>
      <c r="K23" s="501"/>
      <c r="L23" s="501"/>
      <c r="M23" s="460"/>
      <c r="N23" s="460"/>
      <c r="O23" s="460"/>
    </row>
    <row r="24" spans="1:16" ht="15" x14ac:dyDescent="0.25">
      <c r="A24" s="500" t="s">
        <v>1901</v>
      </c>
      <c r="B24" s="500"/>
      <c r="C24" s="501">
        <v>209.63</v>
      </c>
      <c r="D24" s="501">
        <v>209.63</v>
      </c>
      <c r="E24" s="501">
        <v>209.63</v>
      </c>
      <c r="F24" s="501"/>
      <c r="G24" s="501">
        <v>209.63</v>
      </c>
      <c r="H24" s="501"/>
      <c r="I24" s="501"/>
      <c r="J24" s="501">
        <v>1922.63</v>
      </c>
      <c r="K24" s="501"/>
      <c r="L24" s="501"/>
      <c r="M24" s="460"/>
      <c r="N24" s="460"/>
      <c r="O24" s="460"/>
    </row>
    <row r="25" spans="1:16" ht="15" x14ac:dyDescent="0.25">
      <c r="A25" s="500" t="s">
        <v>1902</v>
      </c>
      <c r="B25" s="500"/>
      <c r="C25" s="501">
        <v>2.04</v>
      </c>
      <c r="D25" s="501">
        <v>2.04</v>
      </c>
      <c r="E25" s="501">
        <v>2.04</v>
      </c>
      <c r="F25" s="501"/>
      <c r="G25" s="501">
        <v>2.04</v>
      </c>
      <c r="H25" s="501"/>
      <c r="I25" s="501"/>
      <c r="J25" s="501">
        <v>2.04</v>
      </c>
      <c r="K25" s="501"/>
      <c r="L25" s="501"/>
      <c r="M25" s="460"/>
      <c r="N25" s="460"/>
      <c r="O25" s="460"/>
    </row>
    <row r="26" spans="1:16" ht="15" x14ac:dyDescent="0.25">
      <c r="A26" s="500" t="s">
        <v>1903</v>
      </c>
      <c r="B26" s="500"/>
      <c r="C26" s="501">
        <v>112.62</v>
      </c>
      <c r="D26" s="501">
        <v>112.62</v>
      </c>
      <c r="E26" s="501">
        <v>112.62</v>
      </c>
      <c r="F26" s="501"/>
      <c r="G26" s="501">
        <v>112.62</v>
      </c>
      <c r="H26" s="501"/>
      <c r="I26" s="501"/>
      <c r="J26" s="501">
        <v>112.62</v>
      </c>
      <c r="K26" s="501"/>
      <c r="L26" s="501"/>
      <c r="M26" s="460"/>
      <c r="N26" s="460"/>
      <c r="O26" s="460"/>
    </row>
    <row r="27" spans="1:16" ht="15" x14ac:dyDescent="0.25">
      <c r="A27" s="500" t="s">
        <v>1904</v>
      </c>
      <c r="B27" s="500"/>
      <c r="C27" s="501">
        <v>13656.72</v>
      </c>
      <c r="D27" s="501">
        <v>15876.72</v>
      </c>
      <c r="E27" s="501">
        <v>15876.72</v>
      </c>
      <c r="F27" s="501"/>
      <c r="G27" s="501">
        <v>15876.72</v>
      </c>
      <c r="H27" s="501"/>
      <c r="I27" s="501"/>
      <c r="J27" s="501">
        <v>17116.72</v>
      </c>
      <c r="K27" s="501"/>
      <c r="L27" s="501"/>
      <c r="M27" s="460"/>
      <c r="N27" s="460"/>
      <c r="O27" s="460"/>
    </row>
    <row r="28" spans="1:16" ht="15" x14ac:dyDescent="0.25">
      <c r="A28" s="500" t="s">
        <v>1924</v>
      </c>
      <c r="B28" s="500"/>
      <c r="C28" s="501"/>
      <c r="D28" s="501"/>
      <c r="E28" s="501">
        <v>271.95</v>
      </c>
      <c r="F28" s="501"/>
      <c r="G28" s="501">
        <v>271.95</v>
      </c>
      <c r="H28" s="501"/>
      <c r="I28" s="501"/>
      <c r="J28" s="501">
        <v>271.95</v>
      </c>
      <c r="K28" s="501"/>
      <c r="L28" s="501"/>
      <c r="M28" s="460"/>
      <c r="N28" s="460"/>
      <c r="O28" s="460"/>
    </row>
    <row r="29" spans="1:16" ht="15" x14ac:dyDescent="0.25">
      <c r="A29" s="500" t="s">
        <v>1905</v>
      </c>
      <c r="B29" s="500"/>
      <c r="C29" s="501">
        <v>69769.850000000006</v>
      </c>
      <c r="D29" s="501">
        <v>68463.39</v>
      </c>
      <c r="E29" s="501">
        <v>68175.11</v>
      </c>
      <c r="F29" s="501"/>
      <c r="G29" s="501">
        <v>66289.11</v>
      </c>
      <c r="H29" s="501"/>
      <c r="I29" s="501"/>
      <c r="J29" s="501">
        <v>66228.649999999994</v>
      </c>
      <c r="K29" s="501"/>
      <c r="L29" s="501"/>
      <c r="M29" s="460"/>
      <c r="N29" s="460"/>
      <c r="O29" s="460"/>
    </row>
    <row r="30" spans="1:16" ht="15" x14ac:dyDescent="0.25">
      <c r="A30" s="500" t="s">
        <v>1906</v>
      </c>
      <c r="B30" s="500"/>
      <c r="C30" s="501">
        <v>19254.439999999999</v>
      </c>
      <c r="D30" s="501">
        <v>22043.25</v>
      </c>
      <c r="E30" s="501">
        <v>24314.11</v>
      </c>
      <c r="F30" s="501"/>
      <c r="G30" s="501">
        <v>26196.02</v>
      </c>
      <c r="H30" s="501"/>
      <c r="I30" s="501"/>
      <c r="J30" s="501">
        <v>23530.54</v>
      </c>
      <c r="K30" s="501"/>
      <c r="L30" s="501"/>
      <c r="M30" s="460"/>
      <c r="N30" s="460"/>
      <c r="O30" s="460"/>
    </row>
    <row r="31" spans="1:16" ht="15" x14ac:dyDescent="0.25">
      <c r="A31" s="500" t="s">
        <v>1907</v>
      </c>
      <c r="B31" s="500"/>
      <c r="C31" s="501">
        <v>127.1</v>
      </c>
      <c r="D31" s="501">
        <v>127.1</v>
      </c>
      <c r="E31" s="501">
        <v>127.1</v>
      </c>
      <c r="F31" s="501"/>
      <c r="G31" s="501">
        <v>127.1</v>
      </c>
      <c r="H31" s="501"/>
      <c r="I31" s="501"/>
      <c r="J31" s="501">
        <v>47.1</v>
      </c>
      <c r="K31" s="501"/>
      <c r="L31" s="501"/>
      <c r="M31" s="460"/>
      <c r="N31" s="460"/>
      <c r="O31" s="460"/>
    </row>
    <row r="32" spans="1:16" ht="15.75" x14ac:dyDescent="0.25">
      <c r="A32" s="441" t="s">
        <v>1943</v>
      </c>
      <c r="B32" s="441"/>
      <c r="C32" s="501">
        <v>-11872.5</v>
      </c>
      <c r="D32" s="460"/>
      <c r="E32" s="276"/>
      <c r="F32" s="276"/>
      <c r="G32" s="501">
        <v>-16975.650000000001</v>
      </c>
      <c r="H32" s="276"/>
      <c r="I32" s="276"/>
      <c r="J32" s="501">
        <f>-1345.06-5.5+79.19</f>
        <v>-1271.3699999999999</v>
      </c>
      <c r="K32" s="486"/>
      <c r="L32" s="486"/>
      <c r="M32" s="486"/>
      <c r="N32" s="486"/>
      <c r="O32" s="486"/>
    </row>
    <row r="33" spans="1:15" ht="15.75" x14ac:dyDescent="0.25">
      <c r="A33" s="441"/>
      <c r="B33" s="441"/>
      <c r="C33" s="276"/>
      <c r="D33" s="460"/>
      <c r="E33" s="276"/>
      <c r="F33" s="276"/>
      <c r="G33" s="501"/>
      <c r="H33" s="276"/>
      <c r="I33" s="276"/>
      <c r="J33" s="276"/>
      <c r="K33" s="486"/>
      <c r="L33" s="486"/>
      <c r="M33" s="486"/>
      <c r="N33" s="486"/>
      <c r="O33" s="486"/>
    </row>
    <row r="34" spans="1:15" s="469" customFormat="1" x14ac:dyDescent="0.3">
      <c r="A34" s="464" t="s">
        <v>1910</v>
      </c>
      <c r="B34" s="464"/>
      <c r="C34" s="465">
        <f>SUM(C35:C37)</f>
        <v>241113.21999999997</v>
      </c>
      <c r="D34" s="465">
        <f>SUM(D35:D37)</f>
        <v>268594.59000000003</v>
      </c>
      <c r="E34" s="465">
        <f>SUM(E35:E38)</f>
        <v>235003.51999999996</v>
      </c>
      <c r="F34" s="465">
        <f>SUM(F35:F37)</f>
        <v>50746.93</v>
      </c>
      <c r="G34" s="465">
        <f t="shared" ref="G34:O34" si="1">SUM(G35:G38)</f>
        <v>181518.39999999997</v>
      </c>
      <c r="H34" s="465">
        <f t="shared" si="1"/>
        <v>130984.28</v>
      </c>
      <c r="I34" s="465">
        <f t="shared" si="1"/>
        <v>65712.98</v>
      </c>
      <c r="J34" s="465">
        <f t="shared" si="1"/>
        <v>188941.46999999997</v>
      </c>
      <c r="K34" s="465">
        <f t="shared" si="1"/>
        <v>0</v>
      </c>
      <c r="L34" s="465">
        <f t="shared" si="1"/>
        <v>0</v>
      </c>
      <c r="M34" s="465">
        <f t="shared" si="1"/>
        <v>0</v>
      </c>
      <c r="N34" s="465">
        <f t="shared" si="1"/>
        <v>0</v>
      </c>
      <c r="O34" s="465">
        <f t="shared" si="1"/>
        <v>0</v>
      </c>
    </row>
    <row r="35" spans="1:15" ht="15.75" x14ac:dyDescent="0.25">
      <c r="A35" s="500" t="s">
        <v>943</v>
      </c>
      <c r="B35" s="500"/>
      <c r="C35" s="486">
        <v>25441.73</v>
      </c>
      <c r="D35" s="501">
        <v>24363.23</v>
      </c>
      <c r="E35" s="501">
        <v>21976.73</v>
      </c>
      <c r="F35" s="501">
        <v>19592.23</v>
      </c>
      <c r="G35" s="501">
        <v>18402.23</v>
      </c>
      <c r="H35" s="501">
        <v>21672.23</v>
      </c>
      <c r="I35" s="501">
        <v>19915.73</v>
      </c>
      <c r="J35" s="501">
        <v>21651.23</v>
      </c>
      <c r="K35" s="460"/>
      <c r="L35" s="460"/>
      <c r="M35" s="460"/>
      <c r="N35" s="460"/>
      <c r="O35" s="460"/>
    </row>
    <row r="36" spans="1:15" ht="15.75" x14ac:dyDescent="0.25">
      <c r="A36" s="500" t="s">
        <v>940</v>
      </c>
      <c r="B36" s="500"/>
      <c r="C36" s="486">
        <v>31307.97</v>
      </c>
      <c r="D36" s="501">
        <v>67937.47</v>
      </c>
      <c r="E36" s="501">
        <v>43550.97</v>
      </c>
      <c r="F36" s="501">
        <v>15577.35</v>
      </c>
      <c r="G36" s="501">
        <v>11657.35</v>
      </c>
      <c r="H36" s="501">
        <v>36437.35</v>
      </c>
      <c r="I36" s="501">
        <v>15265.75</v>
      </c>
      <c r="J36" s="501">
        <v>26025.75</v>
      </c>
      <c r="K36" s="460"/>
      <c r="L36" s="460"/>
      <c r="M36" s="460"/>
      <c r="N36" s="460"/>
      <c r="O36" s="460"/>
    </row>
    <row r="37" spans="1:15" ht="15.75" x14ac:dyDescent="0.25">
      <c r="A37" s="500" t="s">
        <v>1922</v>
      </c>
      <c r="B37" s="500"/>
      <c r="C37" s="486">
        <v>184363.51999999999</v>
      </c>
      <c r="D37" s="501">
        <v>176293.89</v>
      </c>
      <c r="E37" s="501">
        <v>166486.57999999999</v>
      </c>
      <c r="F37" s="501">
        <v>15577.35</v>
      </c>
      <c r="G37" s="501">
        <v>148469.57999999999</v>
      </c>
      <c r="H37" s="501">
        <v>36437.35</v>
      </c>
      <c r="I37" s="501">
        <v>15265.75</v>
      </c>
      <c r="J37" s="501">
        <v>138275.25</v>
      </c>
      <c r="K37" s="460"/>
      <c r="L37" s="460"/>
      <c r="M37" s="460"/>
      <c r="N37" s="460"/>
      <c r="O37" s="460"/>
    </row>
    <row r="38" spans="1:15" ht="15.75" x14ac:dyDescent="0.25">
      <c r="A38" s="500" t="s">
        <v>1925</v>
      </c>
      <c r="B38" s="500"/>
      <c r="C38" s="486"/>
      <c r="D38" s="501"/>
      <c r="E38" s="501">
        <v>2989.24</v>
      </c>
      <c r="F38" s="501">
        <v>15577.35</v>
      </c>
      <c r="G38" s="501">
        <v>2989.24</v>
      </c>
      <c r="H38" s="501">
        <v>36437.35</v>
      </c>
      <c r="I38" s="501">
        <v>15265.75</v>
      </c>
      <c r="J38" s="501">
        <v>2989.24</v>
      </c>
      <c r="K38" s="460"/>
      <c r="L38" s="460"/>
      <c r="M38" s="460"/>
      <c r="N38" s="460"/>
      <c r="O38" s="460"/>
    </row>
    <row r="39" spans="1:15" s="469" customFormat="1" x14ac:dyDescent="0.3">
      <c r="A39" s="441"/>
      <c r="B39" s="441"/>
      <c r="C39" s="488"/>
      <c r="D39" s="488"/>
      <c r="E39" s="488"/>
      <c r="F39" s="488"/>
      <c r="G39" s="488"/>
      <c r="H39" s="488"/>
      <c r="I39" s="488"/>
      <c r="J39" s="488"/>
      <c r="K39" s="488"/>
      <c r="L39" s="488"/>
      <c r="M39" s="488"/>
      <c r="N39" s="488"/>
      <c r="O39" s="488"/>
    </row>
    <row r="40" spans="1:15" s="469" customFormat="1" x14ac:dyDescent="0.3">
      <c r="A40" s="462" t="s">
        <v>1909</v>
      </c>
      <c r="B40" s="462"/>
      <c r="C40" s="466">
        <f>SUM(C41:C54)</f>
        <v>181103.11</v>
      </c>
      <c r="D40" s="466">
        <f>SUM(D41:D54)</f>
        <v>164752.67000000001</v>
      </c>
      <c r="E40" s="466">
        <f>SUM(E41:E55)</f>
        <v>161091.5</v>
      </c>
      <c r="F40" s="466" t="e">
        <f>SUM(#REF!)</f>
        <v>#REF!</v>
      </c>
      <c r="G40" s="466">
        <f>SUM(G41:G54)</f>
        <v>140207.41</v>
      </c>
      <c r="H40" s="466" t="e">
        <f>SUM(#REF!)</f>
        <v>#REF!</v>
      </c>
      <c r="I40" s="466" t="e">
        <f>SUM(#REF!)</f>
        <v>#REF!</v>
      </c>
      <c r="J40" s="466">
        <f>SUM(J41:J54)</f>
        <v>139060.67000000001</v>
      </c>
      <c r="K40" s="466"/>
      <c r="L40" s="466"/>
      <c r="M40" s="466"/>
      <c r="N40" s="466"/>
      <c r="O40" s="466"/>
    </row>
    <row r="41" spans="1:15" ht="15.75" x14ac:dyDescent="0.25">
      <c r="A41" s="500" t="s">
        <v>1329</v>
      </c>
      <c r="B41" s="500"/>
      <c r="C41" s="486">
        <v>6577.52</v>
      </c>
      <c r="D41" s="501">
        <v>20085.72</v>
      </c>
      <c r="E41" s="501">
        <v>20065.43</v>
      </c>
      <c r="F41" s="501"/>
      <c r="G41" s="501">
        <v>20044.21</v>
      </c>
      <c r="H41" s="501"/>
      <c r="I41" s="501"/>
      <c r="J41" s="501">
        <v>20024.330000000002</v>
      </c>
      <c r="K41" s="501"/>
      <c r="L41" s="501"/>
      <c r="M41" s="501"/>
      <c r="N41" s="460"/>
      <c r="O41" s="460"/>
    </row>
    <row r="42" spans="1:15" ht="15.75" x14ac:dyDescent="0.25">
      <c r="A42" s="500" t="s">
        <v>1330</v>
      </c>
      <c r="B42" s="500"/>
      <c r="C42" s="486"/>
      <c r="D42" s="501"/>
      <c r="E42" s="501">
        <v>7941.49</v>
      </c>
      <c r="F42" s="501"/>
      <c r="G42" s="501">
        <v>6741.49</v>
      </c>
      <c r="H42" s="501"/>
      <c r="I42" s="501"/>
      <c r="J42" s="501">
        <v>5541.49</v>
      </c>
      <c r="K42" s="501"/>
      <c r="L42" s="501"/>
      <c r="M42" s="501"/>
      <c r="N42" s="460"/>
      <c r="O42" s="460"/>
    </row>
    <row r="43" spans="1:15" ht="15.75" x14ac:dyDescent="0.25">
      <c r="A43" s="500" t="s">
        <v>1331</v>
      </c>
      <c r="B43" s="500"/>
      <c r="C43" s="486"/>
      <c r="D43" s="501"/>
      <c r="E43" s="501">
        <v>4097.5</v>
      </c>
      <c r="F43" s="501"/>
      <c r="G43" s="501">
        <v>4097.5</v>
      </c>
      <c r="H43" s="501"/>
      <c r="I43" s="501"/>
      <c r="J43" s="501">
        <v>7000</v>
      </c>
      <c r="K43" s="501"/>
      <c r="L43" s="501"/>
      <c r="M43" s="501"/>
      <c r="N43" s="460"/>
      <c r="O43" s="460"/>
    </row>
    <row r="44" spans="1:15" ht="15.75" x14ac:dyDescent="0.25">
      <c r="A44" s="500" t="s">
        <v>1114</v>
      </c>
      <c r="B44" s="500"/>
      <c r="C44" s="486">
        <v>2059.5</v>
      </c>
      <c r="D44" s="501">
        <v>2059.5</v>
      </c>
      <c r="E44" s="501">
        <v>2059.5</v>
      </c>
      <c r="F44" s="501">
        <v>2059.5</v>
      </c>
      <c r="G44" s="501">
        <v>2059.5</v>
      </c>
      <c r="H44" s="501">
        <v>2059.5</v>
      </c>
      <c r="I44" s="501">
        <v>2059.5</v>
      </c>
      <c r="J44" s="501">
        <v>2059.5</v>
      </c>
      <c r="K44" s="501"/>
      <c r="L44" s="501"/>
      <c r="M44" s="501"/>
      <c r="N44" s="460"/>
      <c r="O44" s="460"/>
    </row>
    <row r="45" spans="1:15" ht="15.75" x14ac:dyDescent="0.25">
      <c r="A45" s="500" t="s">
        <v>1115</v>
      </c>
      <c r="B45" s="500"/>
      <c r="C45" s="486"/>
      <c r="D45" s="501"/>
      <c r="E45" s="501">
        <v>1198</v>
      </c>
      <c r="F45" s="501">
        <v>1198</v>
      </c>
      <c r="G45" s="501">
        <v>1198</v>
      </c>
      <c r="H45" s="501">
        <v>1198</v>
      </c>
      <c r="I45" s="501">
        <v>2278</v>
      </c>
      <c r="J45" s="501">
        <v>1198</v>
      </c>
      <c r="K45" s="501"/>
      <c r="L45" s="501"/>
      <c r="M45" s="501"/>
      <c r="N45" s="460"/>
      <c r="O45" s="460"/>
    </row>
    <row r="46" spans="1:15" ht="15.75" x14ac:dyDescent="0.25">
      <c r="A46" s="500" t="s">
        <v>1113</v>
      </c>
      <c r="B46" s="500"/>
      <c r="C46" s="486">
        <v>13315</v>
      </c>
      <c r="D46" s="501">
        <v>11265</v>
      </c>
      <c r="E46" s="501">
        <v>8665</v>
      </c>
      <c r="F46" s="501">
        <v>7565</v>
      </c>
      <c r="G46" s="501">
        <v>7165</v>
      </c>
      <c r="H46" s="501">
        <v>5965</v>
      </c>
      <c r="I46" s="501">
        <v>9286</v>
      </c>
      <c r="J46" s="501">
        <v>4915</v>
      </c>
      <c r="K46" s="501"/>
      <c r="L46" s="501"/>
      <c r="M46" s="501"/>
      <c r="N46" s="460"/>
      <c r="O46" s="460"/>
    </row>
    <row r="47" spans="1:15" ht="15.75" x14ac:dyDescent="0.25">
      <c r="A47" s="500" t="s">
        <v>1717</v>
      </c>
      <c r="B47" s="500"/>
      <c r="C47" s="486">
        <v>229.1</v>
      </c>
      <c r="D47" s="501">
        <v>229.1</v>
      </c>
      <c r="E47" s="501">
        <v>229.1</v>
      </c>
      <c r="F47" s="501"/>
      <c r="G47" s="501">
        <v>229.1</v>
      </c>
      <c r="H47" s="501"/>
      <c r="I47" s="501"/>
      <c r="J47" s="501">
        <v>229.1</v>
      </c>
      <c r="K47" s="501"/>
      <c r="L47" s="501"/>
      <c r="M47" s="501"/>
      <c r="N47" s="460"/>
      <c r="O47" s="460"/>
    </row>
    <row r="48" spans="1:15" ht="15.75" x14ac:dyDescent="0.25">
      <c r="A48" s="500" t="s">
        <v>1715</v>
      </c>
      <c r="B48" s="500"/>
      <c r="C48" s="486">
        <v>763.22</v>
      </c>
      <c r="D48" s="501">
        <v>763.22</v>
      </c>
      <c r="E48" s="501">
        <v>763.22</v>
      </c>
      <c r="F48" s="501"/>
      <c r="G48" s="501"/>
      <c r="H48" s="501"/>
      <c r="I48" s="501"/>
      <c r="J48" s="501">
        <v>763.22</v>
      </c>
      <c r="K48" s="501"/>
      <c r="L48" s="501"/>
      <c r="M48" s="501"/>
      <c r="N48" s="460"/>
      <c r="O48" s="460"/>
    </row>
    <row r="49" spans="1:16" ht="15.75" x14ac:dyDescent="0.25">
      <c r="A49" s="500" t="s">
        <v>1215</v>
      </c>
      <c r="B49" s="500"/>
      <c r="C49" s="486">
        <v>1124.5999999999999</v>
      </c>
      <c r="D49" s="501">
        <v>1124.5999999999999</v>
      </c>
      <c r="E49" s="501">
        <v>1124.5999999999999</v>
      </c>
      <c r="F49" s="501">
        <v>1124.5999999999999</v>
      </c>
      <c r="G49" s="501">
        <v>874.6</v>
      </c>
      <c r="H49" s="501"/>
      <c r="I49" s="501"/>
      <c r="J49" s="501">
        <v>874.6</v>
      </c>
      <c r="K49" s="501"/>
      <c r="L49" s="501"/>
      <c r="M49" s="501"/>
      <c r="N49" s="460"/>
      <c r="O49" s="460"/>
    </row>
    <row r="50" spans="1:16" ht="15.75" x14ac:dyDescent="0.25">
      <c r="A50" s="500" t="s">
        <v>1718</v>
      </c>
      <c r="B50" s="500"/>
      <c r="C50" s="486">
        <v>27680.11</v>
      </c>
      <c r="D50" s="501">
        <v>544.4</v>
      </c>
      <c r="E50" s="501">
        <v>544.4</v>
      </c>
      <c r="F50" s="501"/>
      <c r="G50" s="501">
        <v>544.4</v>
      </c>
      <c r="H50" s="501"/>
      <c r="I50" s="501"/>
      <c r="J50" s="501">
        <v>544.4</v>
      </c>
      <c r="K50" s="501"/>
      <c r="L50" s="501"/>
      <c r="M50" s="501"/>
      <c r="N50" s="460"/>
      <c r="O50" s="460"/>
    </row>
    <row r="51" spans="1:16" ht="15.75" x14ac:dyDescent="0.25">
      <c r="A51" s="500" t="s">
        <v>1111</v>
      </c>
      <c r="B51" s="500"/>
      <c r="C51" s="486">
        <v>126837.69</v>
      </c>
      <c r="D51" s="501">
        <v>124636.47</v>
      </c>
      <c r="E51" s="501">
        <v>110122.74</v>
      </c>
      <c r="F51" s="501">
        <v>101848.91</v>
      </c>
      <c r="G51" s="501">
        <v>94069.47</v>
      </c>
      <c r="H51" s="501">
        <v>93273.31</v>
      </c>
      <c r="I51" s="501">
        <v>94020.5</v>
      </c>
      <c r="J51" s="501">
        <v>91856.8</v>
      </c>
      <c r="K51" s="501"/>
      <c r="L51" s="501"/>
      <c r="M51" s="501"/>
      <c r="N51" s="460"/>
      <c r="O51" s="460"/>
    </row>
    <row r="52" spans="1:16" ht="15.75" x14ac:dyDescent="0.25">
      <c r="A52" s="500" t="s">
        <v>1112</v>
      </c>
      <c r="B52" s="500"/>
      <c r="C52" s="486">
        <v>186.37</v>
      </c>
      <c r="D52" s="501">
        <v>2714.66</v>
      </c>
      <c r="E52" s="501">
        <v>2714.66</v>
      </c>
      <c r="F52" s="501">
        <v>3184.14</v>
      </c>
      <c r="G52" s="501">
        <v>3184.14</v>
      </c>
      <c r="H52" s="501">
        <v>3184.14</v>
      </c>
      <c r="I52" s="501">
        <v>3819.08</v>
      </c>
      <c r="J52" s="501">
        <v>3604.23</v>
      </c>
      <c r="K52" s="501"/>
      <c r="L52" s="501"/>
      <c r="M52" s="501"/>
      <c r="N52" s="460"/>
      <c r="O52" s="460"/>
    </row>
    <row r="53" spans="1:16" ht="15.75" x14ac:dyDescent="0.25">
      <c r="A53" s="500" t="s">
        <v>1716</v>
      </c>
      <c r="B53" s="500"/>
      <c r="C53" s="486">
        <v>880</v>
      </c>
      <c r="D53" s="501">
        <v>880</v>
      </c>
      <c r="E53" s="501">
        <v>880</v>
      </c>
      <c r="F53" s="501"/>
      <c r="G53" s="501"/>
      <c r="H53" s="501"/>
      <c r="I53" s="501"/>
      <c r="J53" s="501"/>
      <c r="K53" s="501"/>
      <c r="L53" s="501"/>
      <c r="M53" s="501"/>
      <c r="N53" s="460"/>
      <c r="O53" s="460"/>
    </row>
    <row r="54" spans="1:16" ht="15.75" x14ac:dyDescent="0.25">
      <c r="A54" s="500" t="s">
        <v>1516</v>
      </c>
      <c r="B54" s="500"/>
      <c r="C54" s="486">
        <v>1450</v>
      </c>
      <c r="D54" s="501">
        <v>450</v>
      </c>
      <c r="E54" s="501">
        <v>450</v>
      </c>
      <c r="F54" s="501"/>
      <c r="G54" s="501"/>
      <c r="H54" s="501"/>
      <c r="I54" s="501"/>
      <c r="J54" s="501">
        <v>450</v>
      </c>
      <c r="K54" s="501"/>
      <c r="L54" s="501"/>
      <c r="M54" s="501"/>
      <c r="N54" s="460"/>
      <c r="O54" s="460"/>
    </row>
    <row r="55" spans="1:16" ht="15.75" x14ac:dyDescent="0.25">
      <c r="A55" s="500" t="s">
        <v>1926</v>
      </c>
      <c r="B55" s="500"/>
      <c r="C55" s="486"/>
      <c r="D55" s="501"/>
      <c r="E55" s="501">
        <v>235.86</v>
      </c>
      <c r="F55" s="501"/>
      <c r="G55" s="501"/>
      <c r="H55" s="501"/>
      <c r="I55" s="501"/>
      <c r="J55" s="501"/>
      <c r="K55" s="501"/>
      <c r="L55" s="501"/>
      <c r="M55" s="501"/>
      <c r="N55" s="460"/>
      <c r="O55" s="460"/>
    </row>
    <row r="56" spans="1:16" ht="15.75" x14ac:dyDescent="0.25">
      <c r="A56" s="441"/>
      <c r="B56" s="441"/>
      <c r="C56" s="276"/>
      <c r="D56" s="276"/>
      <c r="E56" s="276"/>
      <c r="F56" s="276"/>
      <c r="G56" s="276"/>
      <c r="H56" s="276"/>
      <c r="I56" s="276"/>
      <c r="J56" s="276"/>
      <c r="K56" s="486"/>
      <c r="L56" s="486"/>
      <c r="M56" s="486"/>
      <c r="N56" s="486"/>
      <c r="O56" s="486"/>
    </row>
    <row r="57" spans="1:16" s="483" customFormat="1" x14ac:dyDescent="0.3">
      <c r="A57" s="493" t="s">
        <v>1927</v>
      </c>
      <c r="B57" s="493"/>
      <c r="C57" s="481">
        <f>SUM(C58:C66)</f>
        <v>699127.07000000007</v>
      </c>
      <c r="D57" s="481">
        <f>SUM(D58:D66)</f>
        <v>776357.74</v>
      </c>
      <c r="E57" s="481">
        <f t="shared" ref="E57:J57" si="2">SUM(E58:E66)</f>
        <v>741204.66</v>
      </c>
      <c r="F57" s="481">
        <f t="shared" si="2"/>
        <v>384131.76</v>
      </c>
      <c r="G57" s="481">
        <f t="shared" si="2"/>
        <v>664262.99000000011</v>
      </c>
      <c r="H57" s="481">
        <f t="shared" si="2"/>
        <v>0</v>
      </c>
      <c r="I57" s="481">
        <f t="shared" si="2"/>
        <v>0</v>
      </c>
      <c r="J57" s="481">
        <f t="shared" si="2"/>
        <v>705093.04999999993</v>
      </c>
      <c r="K57" s="481">
        <f>SUM(K58:K65)</f>
        <v>174418</v>
      </c>
      <c r="L57" s="481">
        <f>SUM(L58:L65)</f>
        <v>140445.17000000001</v>
      </c>
      <c r="M57" s="481">
        <f>SUM(M58:M65)</f>
        <v>107574.42</v>
      </c>
      <c r="N57" s="481">
        <f>SUM(N58:N65)</f>
        <v>85569.02</v>
      </c>
      <c r="O57" s="481">
        <f>SUM(O58:O63)</f>
        <v>0</v>
      </c>
      <c r="P57" s="482"/>
    </row>
    <row r="58" spans="1:16" ht="15" x14ac:dyDescent="0.25">
      <c r="A58" s="500" t="s">
        <v>1929</v>
      </c>
      <c r="B58" s="500"/>
      <c r="C58" s="501">
        <v>130233.3</v>
      </c>
      <c r="D58" s="501">
        <v>128025.39</v>
      </c>
      <c r="E58" s="501">
        <v>126437.15</v>
      </c>
      <c r="F58" s="501"/>
      <c r="G58" s="501">
        <v>72013.990000000005</v>
      </c>
      <c r="H58" s="501"/>
      <c r="I58" s="501"/>
      <c r="J58" s="501">
        <v>146850.6</v>
      </c>
      <c r="K58" s="501"/>
      <c r="L58" s="501"/>
      <c r="M58" s="501"/>
      <c r="N58" s="501"/>
      <c r="O58" s="460"/>
    </row>
    <row r="59" spans="1:16" ht="15" x14ac:dyDescent="0.25">
      <c r="A59" s="500" t="s">
        <v>1930</v>
      </c>
      <c r="B59" s="500"/>
      <c r="C59" s="501">
        <v>50000</v>
      </c>
      <c r="D59" s="501">
        <v>50000</v>
      </c>
      <c r="E59" s="501">
        <v>40000</v>
      </c>
      <c r="F59" s="501"/>
      <c r="G59" s="501">
        <v>10000</v>
      </c>
      <c r="H59" s="501"/>
      <c r="I59" s="501"/>
      <c r="J59" s="501">
        <v>10000</v>
      </c>
      <c r="K59" s="501"/>
      <c r="L59" s="501"/>
      <c r="M59" s="501"/>
      <c r="N59" s="501"/>
      <c r="O59" s="460"/>
    </row>
    <row r="60" spans="1:16" ht="15" x14ac:dyDescent="0.25">
      <c r="A60" s="500" t="s">
        <v>1931</v>
      </c>
      <c r="B60" s="500"/>
      <c r="C60" s="501">
        <v>28336.11</v>
      </c>
      <c r="D60" s="501">
        <v>29368.25</v>
      </c>
      <c r="E60" s="501">
        <v>46531.75</v>
      </c>
      <c r="F60" s="501"/>
      <c r="G60" s="501">
        <v>44078.75</v>
      </c>
      <c r="H60" s="501"/>
      <c r="I60" s="501"/>
      <c r="J60" s="501">
        <v>45002.71</v>
      </c>
      <c r="K60" s="501"/>
      <c r="L60" s="501"/>
      <c r="M60" s="501"/>
      <c r="N60" s="501"/>
      <c r="O60" s="460"/>
    </row>
    <row r="61" spans="1:16" ht="15" x14ac:dyDescent="0.25">
      <c r="A61" s="500" t="s">
        <v>1932</v>
      </c>
      <c r="B61" s="500"/>
      <c r="C61" s="501">
        <v>91323.69</v>
      </c>
      <c r="D61" s="501">
        <v>60752.56</v>
      </c>
      <c r="E61" s="501">
        <v>71625.72</v>
      </c>
      <c r="F61" s="501"/>
      <c r="G61" s="501">
        <v>166966.46</v>
      </c>
      <c r="H61" s="501"/>
      <c r="I61" s="501"/>
      <c r="J61" s="501">
        <v>154616.75</v>
      </c>
      <c r="K61" s="501"/>
      <c r="L61" s="501"/>
      <c r="M61" s="501"/>
      <c r="N61" s="501"/>
      <c r="O61" s="460"/>
    </row>
    <row r="62" spans="1:16" ht="15" x14ac:dyDescent="0.25">
      <c r="A62" s="500" t="s">
        <v>1928</v>
      </c>
      <c r="B62" s="500"/>
      <c r="C62" s="505">
        <v>263387.19</v>
      </c>
      <c r="D62" s="505">
        <f>308211.54-D63</f>
        <v>274923.08999999997</v>
      </c>
      <c r="E62" s="505">
        <v>273378.39</v>
      </c>
      <c r="F62" s="501"/>
      <c r="G62" s="505">
        <v>227361.84</v>
      </c>
      <c r="H62" s="501"/>
      <c r="I62" s="501"/>
      <c r="J62" s="505">
        <v>221345.65</v>
      </c>
      <c r="K62" s="501"/>
      <c r="L62" s="501"/>
      <c r="M62" s="501"/>
      <c r="N62" s="501"/>
      <c r="O62" s="460"/>
    </row>
    <row r="63" spans="1:16" ht="15" x14ac:dyDescent="0.25">
      <c r="A63" s="500" t="s">
        <v>1719</v>
      </c>
      <c r="B63" s="500"/>
      <c r="C63" s="505">
        <v>95793.03</v>
      </c>
      <c r="D63" s="505">
        <v>33288.449999999997</v>
      </c>
      <c r="E63" s="505">
        <v>183231.65</v>
      </c>
      <c r="F63" s="501">
        <v>384131.76</v>
      </c>
      <c r="G63" s="505">
        <v>137825.29</v>
      </c>
      <c r="H63" s="501"/>
      <c r="I63" s="501"/>
      <c r="J63" s="505">
        <v>96254.48</v>
      </c>
      <c r="K63" s="501">
        <v>174418</v>
      </c>
      <c r="L63" s="501">
        <v>140445.17000000001</v>
      </c>
      <c r="M63" s="501">
        <v>107574.42</v>
      </c>
      <c r="N63" s="501">
        <v>85569.02</v>
      </c>
      <c r="O63" s="460"/>
    </row>
    <row r="64" spans="1:16" ht="15" x14ac:dyDescent="0.25">
      <c r="A64" s="500" t="s">
        <v>1944</v>
      </c>
      <c r="B64" s="500"/>
      <c r="C64" s="501">
        <v>22729.51</v>
      </c>
      <c r="D64" s="501"/>
      <c r="E64" s="501"/>
      <c r="F64" s="501"/>
      <c r="G64" s="501"/>
      <c r="H64" s="501"/>
      <c r="I64" s="501"/>
      <c r="J64" s="501"/>
      <c r="K64" s="501"/>
      <c r="L64" s="501"/>
      <c r="M64" s="501"/>
      <c r="N64" s="501"/>
      <c r="O64" s="460"/>
    </row>
    <row r="65" spans="1:15" ht="15" x14ac:dyDescent="0.25">
      <c r="A65" s="500" t="s">
        <v>1945</v>
      </c>
      <c r="B65" s="500"/>
      <c r="C65" s="501">
        <v>14468.21</v>
      </c>
      <c r="D65" s="501">
        <v>200000</v>
      </c>
      <c r="E65" s="460"/>
      <c r="F65" s="460"/>
      <c r="G65" s="501">
        <f>10.72+10.94+5995</f>
        <v>6016.66</v>
      </c>
      <c r="H65" s="460"/>
      <c r="I65" s="460"/>
      <c r="J65" s="501">
        <f>10.72+25006.2+10.94+5995</f>
        <v>31022.86</v>
      </c>
      <c r="K65" s="460"/>
      <c r="L65" s="460"/>
      <c r="M65" s="460"/>
      <c r="N65" s="460"/>
      <c r="O65" s="460"/>
    </row>
    <row r="66" spans="1:15" ht="15" x14ac:dyDescent="0.25">
      <c r="A66" s="500" t="s">
        <v>1946</v>
      </c>
      <c r="B66" s="500"/>
      <c r="C66" s="501">
        <f>2731.93+124.1</f>
        <v>2856.0299999999997</v>
      </c>
      <c r="D66" s="501"/>
      <c r="E66" s="460"/>
      <c r="F66" s="460"/>
      <c r="G66" s="501"/>
      <c r="H66" s="460"/>
      <c r="I66" s="460"/>
      <c r="J66" s="501"/>
      <c r="K66" s="460"/>
      <c r="L66" s="460"/>
      <c r="M66" s="460"/>
      <c r="N66" s="460"/>
      <c r="O66" s="460"/>
    </row>
    <row r="67" spans="1:15" ht="15" x14ac:dyDescent="0.25">
      <c r="A67" s="500"/>
      <c r="B67" s="500"/>
      <c r="C67" s="501"/>
      <c r="D67" s="501"/>
      <c r="E67" s="460"/>
      <c r="F67" s="460"/>
      <c r="G67" s="501"/>
      <c r="H67" s="460"/>
      <c r="I67" s="460"/>
      <c r="J67" s="501"/>
      <c r="K67" s="460"/>
      <c r="L67" s="460"/>
      <c r="M67" s="460"/>
      <c r="N67" s="460"/>
      <c r="O67" s="460"/>
    </row>
    <row r="68" spans="1:15" s="469" customFormat="1" x14ac:dyDescent="0.3">
      <c r="A68" s="499" t="s">
        <v>1935</v>
      </c>
      <c r="B68" s="499"/>
      <c r="C68" s="504">
        <f>SUM(C69:C73)</f>
        <v>63621.919999999998</v>
      </c>
      <c r="D68" s="504">
        <f t="shared" ref="D68:O68" si="3">SUM(D69:D73)</f>
        <v>63757.16</v>
      </c>
      <c r="E68" s="504">
        <f t="shared" si="3"/>
        <v>71539.23</v>
      </c>
      <c r="F68" s="504">
        <f t="shared" si="3"/>
        <v>0</v>
      </c>
      <c r="G68" s="504">
        <f t="shared" si="3"/>
        <v>72192.179999999993</v>
      </c>
      <c r="H68" s="504">
        <f t="shared" si="3"/>
        <v>0</v>
      </c>
      <c r="I68" s="504">
        <f t="shared" si="3"/>
        <v>0</v>
      </c>
      <c r="J68" s="504">
        <f t="shared" si="3"/>
        <v>73896.09</v>
      </c>
      <c r="K68" s="504">
        <f t="shared" si="3"/>
        <v>0</v>
      </c>
      <c r="L68" s="504">
        <f t="shared" si="3"/>
        <v>0</v>
      </c>
      <c r="M68" s="504">
        <f t="shared" si="3"/>
        <v>0</v>
      </c>
      <c r="N68" s="504">
        <f t="shared" si="3"/>
        <v>0</v>
      </c>
      <c r="O68" s="504">
        <f t="shared" si="3"/>
        <v>0</v>
      </c>
    </row>
    <row r="69" spans="1:15" ht="15" x14ac:dyDescent="0.25">
      <c r="A69" s="500" t="s">
        <v>1936</v>
      </c>
      <c r="B69" s="500"/>
      <c r="C69" s="501">
        <f>13442.36+12088.09</f>
        <v>25530.45</v>
      </c>
      <c r="D69" s="501">
        <f>13442.36+12223.33</f>
        <v>25665.690000000002</v>
      </c>
      <c r="E69" s="501">
        <f>13442.36+12115.28</f>
        <v>25557.64</v>
      </c>
      <c r="F69" s="501"/>
      <c r="G69" s="501">
        <f>13442.36+11408.26</f>
        <v>24850.620000000003</v>
      </c>
      <c r="H69" s="501"/>
      <c r="I69" s="501"/>
      <c r="J69" s="501">
        <f>13442.36+11385.59</f>
        <v>24827.95</v>
      </c>
      <c r="K69" s="501"/>
      <c r="L69" s="501"/>
      <c r="M69" s="501"/>
      <c r="N69" s="501"/>
      <c r="O69" s="460"/>
    </row>
    <row r="70" spans="1:15" ht="15" x14ac:dyDescent="0.25">
      <c r="A70" s="500" t="s">
        <v>1937</v>
      </c>
      <c r="B70" s="500"/>
      <c r="C70" s="501">
        <v>1000</v>
      </c>
      <c r="D70" s="501">
        <v>1000</v>
      </c>
      <c r="E70" s="501">
        <f>1000+6196.72</f>
        <v>7196.72</v>
      </c>
      <c r="F70" s="501"/>
      <c r="G70" s="501">
        <f>1000+5997.62</f>
        <v>6997.62</v>
      </c>
      <c r="H70" s="501"/>
      <c r="I70" s="501"/>
      <c r="J70" s="501">
        <f>1000+5991.23</f>
        <v>6991.23</v>
      </c>
      <c r="K70" s="501"/>
      <c r="L70" s="501"/>
      <c r="M70" s="501"/>
      <c r="N70" s="501"/>
      <c r="O70" s="460"/>
    </row>
    <row r="71" spans="1:15" ht="15" x14ac:dyDescent="0.25">
      <c r="A71" s="500" t="s">
        <v>1938</v>
      </c>
      <c r="B71" s="500"/>
      <c r="C71" s="501">
        <v>2000</v>
      </c>
      <c r="D71" s="501">
        <v>2000</v>
      </c>
      <c r="E71" s="501">
        <f>2000+41.31</f>
        <v>2041.31</v>
      </c>
      <c r="F71" s="501"/>
      <c r="G71" s="501">
        <f>2000+39.28</f>
        <v>2039.28</v>
      </c>
      <c r="H71" s="501"/>
      <c r="I71" s="501"/>
      <c r="J71" s="501">
        <f>2000+37.24</f>
        <v>2037.24</v>
      </c>
      <c r="K71" s="501"/>
      <c r="L71" s="501"/>
      <c r="M71" s="501"/>
      <c r="N71" s="501"/>
      <c r="O71" s="460"/>
    </row>
    <row r="72" spans="1:15" ht="15" x14ac:dyDescent="0.25">
      <c r="A72" s="500" t="s">
        <v>1939</v>
      </c>
      <c r="B72" s="500"/>
      <c r="C72" s="501">
        <v>5000</v>
      </c>
      <c r="D72" s="501">
        <v>5000</v>
      </c>
      <c r="E72" s="501">
        <f>5000+32.3</f>
        <v>5032.3</v>
      </c>
      <c r="F72" s="501"/>
      <c r="G72" s="501">
        <f>5000+27.67</f>
        <v>5027.67</v>
      </c>
      <c r="H72" s="501"/>
      <c r="I72" s="501"/>
      <c r="J72" s="501">
        <f>5000+22.7</f>
        <v>5022.7</v>
      </c>
      <c r="K72" s="501"/>
      <c r="L72" s="501"/>
      <c r="M72" s="501"/>
      <c r="N72" s="501"/>
      <c r="O72" s="460"/>
    </row>
    <row r="73" spans="1:15" ht="15" x14ac:dyDescent="0.25">
      <c r="A73" s="500" t="s">
        <v>1940</v>
      </c>
      <c r="B73" s="500"/>
      <c r="C73" s="501">
        <v>30091.47</v>
      </c>
      <c r="D73" s="501">
        <v>30091.47</v>
      </c>
      <c r="E73" s="501">
        <f>31711.26</f>
        <v>31711.26</v>
      </c>
      <c r="F73" s="501"/>
      <c r="G73" s="501">
        <f>33242.27+34.72</f>
        <v>33276.99</v>
      </c>
      <c r="H73" s="501"/>
      <c r="I73" s="501"/>
      <c r="J73" s="501">
        <f>35016.97</f>
        <v>35016.97</v>
      </c>
      <c r="K73" s="501"/>
      <c r="L73" s="501"/>
      <c r="M73" s="501"/>
      <c r="N73" s="501"/>
      <c r="O73" s="460"/>
    </row>
    <row r="74" spans="1:15" ht="15.75" x14ac:dyDescent="0.25">
      <c r="A74" s="500"/>
      <c r="B74" s="500"/>
      <c r="C74" s="486"/>
      <c r="D74" s="486"/>
      <c r="E74" s="486"/>
      <c r="F74" s="486"/>
      <c r="G74" s="486"/>
      <c r="H74" s="486"/>
      <c r="I74" s="486"/>
      <c r="J74" s="486"/>
      <c r="K74" s="486"/>
      <c r="L74" s="486"/>
      <c r="M74" s="486"/>
      <c r="N74" s="486"/>
      <c r="O74" s="486"/>
    </row>
    <row r="75" spans="1:15" s="469" customFormat="1" x14ac:dyDescent="0.3">
      <c r="A75" s="490" t="s">
        <v>1942</v>
      </c>
      <c r="B75" s="490"/>
      <c r="C75" s="503">
        <f>SUM(C76:C81)</f>
        <v>980443.42</v>
      </c>
      <c r="D75" s="503">
        <f>SUM(D76:D83)</f>
        <v>2177754.3499999996</v>
      </c>
      <c r="E75" s="503">
        <f>SUM(E76:E83)</f>
        <v>1775491.3</v>
      </c>
      <c r="F75" s="503">
        <f>SUM(F76:F81)</f>
        <v>877800.67999999993</v>
      </c>
      <c r="G75" s="503">
        <f>SUM(G76:G83)</f>
        <v>1601942.04</v>
      </c>
      <c r="H75" s="503">
        <f t="shared" ref="H75:O75" si="4">SUM(H76:H84)</f>
        <v>1317281.6000000001</v>
      </c>
      <c r="I75" s="503">
        <f t="shared" si="4"/>
        <v>1080116.48</v>
      </c>
      <c r="J75" s="503">
        <f>SUM(J76:J83)</f>
        <v>1115731.82</v>
      </c>
      <c r="K75" s="503">
        <f t="shared" si="4"/>
        <v>1254756.57</v>
      </c>
      <c r="L75" s="503">
        <f t="shared" si="4"/>
        <v>1214376.1599999999</v>
      </c>
      <c r="M75" s="503">
        <f t="shared" si="4"/>
        <v>1073795.24</v>
      </c>
      <c r="N75" s="503">
        <f t="shared" si="4"/>
        <v>1049385.28</v>
      </c>
      <c r="O75" s="503">
        <f t="shared" si="4"/>
        <v>832759.19000000006</v>
      </c>
    </row>
    <row r="76" spans="1:15" ht="15.75" x14ac:dyDescent="0.25">
      <c r="A76" s="500" t="s">
        <v>941</v>
      </c>
      <c r="B76" s="500"/>
      <c r="C76" s="486">
        <v>503985.28</v>
      </c>
      <c r="D76" s="501">
        <v>700656.53</v>
      </c>
      <c r="E76" s="501">
        <v>642242.37</v>
      </c>
      <c r="F76" s="501">
        <v>589579.57999999996</v>
      </c>
      <c r="G76" s="501">
        <v>587354.73</v>
      </c>
      <c r="H76" s="501">
        <v>485114.04</v>
      </c>
      <c r="I76" s="501">
        <v>425290.59</v>
      </c>
      <c r="J76" s="501">
        <v>427973.71</v>
      </c>
      <c r="K76" s="501">
        <v>767130.39</v>
      </c>
      <c r="L76" s="501">
        <v>764171.52</v>
      </c>
      <c r="M76" s="501">
        <v>742578.24</v>
      </c>
      <c r="N76" s="501">
        <v>711048.5</v>
      </c>
      <c r="O76" s="501">
        <v>656792.56000000006</v>
      </c>
    </row>
    <row r="77" spans="1:15" ht="15.75" x14ac:dyDescent="0.25">
      <c r="A77" s="500" t="s">
        <v>1216</v>
      </c>
      <c r="B77" s="500"/>
      <c r="C77" s="486">
        <v>24034.52</v>
      </c>
      <c r="D77" s="501">
        <v>12018.72</v>
      </c>
      <c r="E77" s="501">
        <v>16.64</v>
      </c>
      <c r="F77" s="501">
        <v>14009.68</v>
      </c>
      <c r="G77" s="501">
        <v>14002.64</v>
      </c>
      <c r="H77" s="501"/>
      <c r="I77" s="501"/>
      <c r="J77" s="501"/>
      <c r="K77" s="501"/>
      <c r="L77" s="501"/>
      <c r="M77" s="501"/>
      <c r="N77" s="501"/>
      <c r="O77" s="501"/>
    </row>
    <row r="78" spans="1:15" ht="15.75" x14ac:dyDescent="0.25">
      <c r="A78" s="500" t="s">
        <v>1217</v>
      </c>
      <c r="B78" s="500"/>
      <c r="C78" s="486">
        <v>150247.47</v>
      </c>
      <c r="D78" s="501">
        <v>100134.25</v>
      </c>
      <c r="E78" s="501">
        <v>116.87</v>
      </c>
      <c r="F78" s="501">
        <v>100067.11</v>
      </c>
      <c r="G78" s="501">
        <v>100016.85</v>
      </c>
      <c r="H78" s="501"/>
      <c r="I78" s="501"/>
      <c r="J78" s="501"/>
      <c r="K78" s="501"/>
      <c r="L78" s="501"/>
      <c r="M78" s="501"/>
      <c r="N78" s="501"/>
      <c r="O78" s="501"/>
    </row>
    <row r="79" spans="1:15" ht="15.75" x14ac:dyDescent="0.25">
      <c r="A79" s="500" t="s">
        <v>1243</v>
      </c>
      <c r="B79" s="500"/>
      <c r="C79" s="486">
        <v>22049.71</v>
      </c>
      <c r="D79" s="501">
        <v>11028.84</v>
      </c>
      <c r="E79" s="501">
        <v>11013.06</v>
      </c>
      <c r="F79" s="501"/>
      <c r="G79" s="501">
        <v>11002.07</v>
      </c>
      <c r="H79" s="501"/>
      <c r="I79" s="501"/>
      <c r="J79" s="501"/>
      <c r="K79" s="501"/>
      <c r="L79" s="501"/>
      <c r="M79" s="501"/>
      <c r="N79" s="501"/>
      <c r="O79" s="501"/>
    </row>
    <row r="80" spans="1:15" ht="15.75" x14ac:dyDescent="0.25">
      <c r="A80" s="500" t="s">
        <v>942</v>
      </c>
      <c r="B80" s="500"/>
      <c r="C80" s="486">
        <v>246039.64</v>
      </c>
      <c r="D80" s="501">
        <v>218332.76</v>
      </c>
      <c r="E80" s="501">
        <v>190802.4</v>
      </c>
      <c r="F80" s="501">
        <v>150127.74</v>
      </c>
      <c r="G80" s="501">
        <v>149561.06</v>
      </c>
      <c r="H80" s="501">
        <v>109157.24</v>
      </c>
      <c r="I80" s="501">
        <v>77963.759999999995</v>
      </c>
      <c r="J80" s="501">
        <v>78589.259999999995</v>
      </c>
      <c r="K80" s="501">
        <v>47893.51</v>
      </c>
      <c r="L80" s="501">
        <v>46630.98</v>
      </c>
      <c r="M80" s="501">
        <v>29619.86</v>
      </c>
      <c r="N80" s="501">
        <v>237641.57</v>
      </c>
      <c r="O80" s="501">
        <v>175966.63</v>
      </c>
    </row>
    <row r="81" spans="1:16" ht="15.75" x14ac:dyDescent="0.25">
      <c r="A81" s="500" t="s">
        <v>1109</v>
      </c>
      <c r="B81" s="500"/>
      <c r="C81" s="486">
        <v>34086.800000000003</v>
      </c>
      <c r="D81" s="501">
        <v>34054.54</v>
      </c>
      <c r="E81" s="501">
        <v>24028.52</v>
      </c>
      <c r="F81" s="501">
        <v>24016.57</v>
      </c>
      <c r="G81" s="501">
        <v>24004.51</v>
      </c>
      <c r="H81" s="501">
        <v>12000</v>
      </c>
      <c r="I81" s="501"/>
      <c r="J81" s="501"/>
      <c r="K81" s="501"/>
      <c r="L81" s="501"/>
      <c r="M81" s="501"/>
      <c r="N81" s="501"/>
      <c r="O81" s="501"/>
    </row>
    <row r="82" spans="1:16" ht="15.75" x14ac:dyDescent="0.25">
      <c r="A82" s="441"/>
      <c r="B82" s="441"/>
      <c r="C82" s="276"/>
      <c r="D82" s="276"/>
      <c r="E82" s="276"/>
      <c r="F82" s="276"/>
      <c r="G82" s="276"/>
      <c r="H82" s="276"/>
      <c r="I82" s="276"/>
      <c r="J82" s="276"/>
      <c r="K82" s="486"/>
      <c r="L82" s="486"/>
      <c r="M82" s="486"/>
      <c r="N82" s="486"/>
      <c r="O82" s="486"/>
    </row>
    <row r="83" spans="1:16" s="469" customFormat="1" x14ac:dyDescent="0.3">
      <c r="A83" s="491" t="s">
        <v>1941</v>
      </c>
      <c r="B83" s="491"/>
      <c r="C83" s="502">
        <v>1305943.0900000001</v>
      </c>
      <c r="D83" s="502">
        <v>1101528.71</v>
      </c>
      <c r="E83" s="502">
        <v>907271.44</v>
      </c>
      <c r="F83" s="502"/>
      <c r="G83" s="502">
        <v>716000.18</v>
      </c>
      <c r="H83" s="502"/>
      <c r="I83" s="502"/>
      <c r="J83" s="502">
        <v>609168.85</v>
      </c>
      <c r="K83" s="502">
        <v>439732.67</v>
      </c>
      <c r="L83" s="502">
        <v>403573.66</v>
      </c>
      <c r="M83" s="502">
        <v>301597.14</v>
      </c>
      <c r="N83" s="502">
        <v>100695.21</v>
      </c>
      <c r="O83" s="502"/>
    </row>
    <row r="84" spans="1:16" ht="15.75" x14ac:dyDescent="0.25">
      <c r="A84" s="441"/>
      <c r="B84" s="441"/>
      <c r="C84" s="276"/>
      <c r="D84" s="460"/>
      <c r="E84" s="460"/>
      <c r="F84" s="460">
        <v>850063.83</v>
      </c>
      <c r="G84" s="460"/>
      <c r="H84" s="460">
        <v>711010.32</v>
      </c>
      <c r="I84" s="460">
        <v>576862.13</v>
      </c>
      <c r="J84" s="460"/>
      <c r="K84" s="460"/>
      <c r="L84" s="460"/>
      <c r="M84" s="460"/>
      <c r="N84" s="460"/>
      <c r="O84" s="460"/>
    </row>
    <row r="85" spans="1:16" ht="22.5" x14ac:dyDescent="0.3">
      <c r="A85" s="479"/>
      <c r="B85" s="479"/>
      <c r="C85" s="475"/>
      <c r="D85" s="475"/>
      <c r="E85" s="475"/>
      <c r="F85" s="475"/>
      <c r="G85" s="475"/>
      <c r="H85" s="475"/>
      <c r="I85" s="475"/>
      <c r="J85" s="475"/>
      <c r="K85" s="475"/>
      <c r="L85" s="475"/>
      <c r="M85" s="475"/>
      <c r="N85" s="475"/>
      <c r="O85" s="475"/>
      <c r="P85" s="473"/>
    </row>
    <row r="86" spans="1:16" ht="15.75" x14ac:dyDescent="0.25">
      <c r="A86" s="275"/>
      <c r="B86" s="275"/>
      <c r="C86" s="276"/>
      <c r="D86" s="276"/>
      <c r="E86" s="276"/>
      <c r="F86" s="276"/>
      <c r="G86" s="276"/>
      <c r="H86" s="276"/>
      <c r="I86" s="276"/>
      <c r="J86" s="276"/>
      <c r="K86" s="486"/>
      <c r="L86" s="486"/>
      <c r="M86" s="486"/>
      <c r="N86" s="486"/>
      <c r="O86" s="486"/>
    </row>
    <row r="87" spans="1:16" ht="15.75" x14ac:dyDescent="0.25">
      <c r="A87" s="275"/>
      <c r="B87" s="275"/>
      <c r="C87" s="276"/>
      <c r="D87" s="276"/>
      <c r="E87" s="276"/>
      <c r="F87" s="276"/>
      <c r="G87" s="276"/>
      <c r="H87" s="276"/>
      <c r="I87" s="276"/>
      <c r="J87" s="276"/>
      <c r="K87" s="486"/>
      <c r="L87" s="486"/>
      <c r="M87" s="486"/>
      <c r="N87" s="486"/>
      <c r="O87" s="486"/>
    </row>
  </sheetData>
  <mergeCells count="1">
    <mergeCell ref="A1:I1"/>
  </mergeCells>
  <printOptions horizontalCentered="1"/>
  <pageMargins left="0.75" right="0.75" top="1" bottom="1" header="0.5" footer="0.5"/>
  <pageSetup scale="61" orientation="landscape" copies="15" r:id="rId1"/>
  <headerFooter alignWithMargins="0">
    <oddHeader>&amp;C&amp;"-,Bold"Proposed Budget &amp; Analysis Report for FY20</oddHeader>
    <oddFooter>&amp;C&amp;D&amp;T</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3:AR370"/>
  <sheetViews>
    <sheetView topLeftCell="C1"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7.7109375" style="161" customWidth="1"/>
    <col min="4" max="4" width="13.28515625" style="211" hidden="1" customWidth="1"/>
    <col min="5" max="5" width="11.42578125" style="211" hidden="1" customWidth="1"/>
    <col min="6" max="6" width="7.85546875" style="211" hidden="1" customWidth="1"/>
    <col min="7" max="7" width="2.140625" style="213" hidden="1" customWidth="1"/>
    <col min="8" max="8" width="13.28515625" style="211" hidden="1" customWidth="1"/>
    <col min="9" max="9" width="11.42578125" style="211" hidden="1" customWidth="1"/>
    <col min="10" max="10" width="7.85546875" style="211" hidden="1" customWidth="1"/>
    <col min="11" max="11" width="2.140625" style="213" hidden="1" customWidth="1"/>
    <col min="12" max="12" width="13.28515625" style="211" hidden="1" customWidth="1"/>
    <col min="13" max="13" width="11.42578125" style="211" hidden="1" customWidth="1"/>
    <col min="14" max="14" width="7.85546875" style="211" hidden="1" customWidth="1"/>
    <col min="15" max="15" width="2.140625" style="213" hidden="1" customWidth="1"/>
    <col min="16" max="16" width="13.28515625" style="211" hidden="1" customWidth="1"/>
    <col min="17" max="17" width="11.42578125" style="211" hidden="1" customWidth="1"/>
    <col min="18" max="18" width="7.85546875" style="211" hidden="1" customWidth="1"/>
    <col min="19" max="19" width="2.140625" style="213" hidden="1" customWidth="1"/>
    <col min="20" max="20" width="13.28515625" style="161" hidden="1" customWidth="1"/>
    <col min="21" max="21" width="11.42578125" style="161" hidden="1" customWidth="1"/>
    <col min="22" max="22" width="7.85546875" style="161" hidden="1" customWidth="1"/>
    <col min="23" max="23" width="2.140625" style="103" hidden="1" customWidth="1"/>
    <col min="24" max="25" width="11.5703125" style="161" hidden="1" customWidth="1"/>
    <col min="26" max="26" width="7.5703125" style="161" hidden="1" customWidth="1"/>
    <col min="27" max="27" width="2.140625" style="103" hidden="1" customWidth="1"/>
    <col min="28" max="28" width="13.85546875" style="161" customWidth="1"/>
    <col min="29" max="29" width="13" style="161" customWidth="1"/>
    <col min="30" max="30" width="7.5703125" style="161" bestFit="1" customWidth="1"/>
    <col min="31" max="31" width="4" style="213" customWidth="1"/>
    <col min="32" max="32" width="11.5703125" style="211" hidden="1" customWidth="1"/>
    <col min="33" max="33" width="12.85546875" style="211" customWidth="1"/>
    <col min="34" max="34" width="13.7109375" style="211" customWidth="1"/>
    <col min="35" max="35" width="7.5703125" style="211" bestFit="1" customWidth="1"/>
    <col min="36" max="36" width="4" style="161" customWidth="1"/>
    <col min="37" max="37" width="14.42578125" style="394" customWidth="1"/>
    <col min="38" max="38" width="13.7109375" style="394" customWidth="1"/>
    <col min="39" max="39" width="7.5703125" style="394" bestFit="1" customWidth="1"/>
    <col min="40" max="40" width="4.28515625" style="394" customWidth="1"/>
    <col min="41" max="41" width="13.7109375" style="104" customWidth="1"/>
    <col min="42" max="42" width="11.28515625" style="104" bestFit="1" customWidth="1"/>
    <col min="43" max="43" width="9.5703125" style="161" bestFit="1" customWidth="1"/>
    <col min="44" max="44" width="19" style="161" customWidth="1"/>
    <col min="45" max="16384" width="9.140625" style="161"/>
  </cols>
  <sheetData>
    <row r="3" spans="1:44" s="202" customFormat="1" ht="12.75" x14ac:dyDescent="0.2">
      <c r="D3" s="802" t="s">
        <v>1366</v>
      </c>
      <c r="E3" s="803"/>
      <c r="F3" s="804"/>
      <c r="G3" s="140"/>
      <c r="H3" s="802" t="s">
        <v>1365</v>
      </c>
      <c r="I3" s="803"/>
      <c r="J3" s="804"/>
      <c r="K3" s="140"/>
      <c r="L3" s="802" t="s">
        <v>1364</v>
      </c>
      <c r="M3" s="803"/>
      <c r="N3" s="804"/>
      <c r="O3" s="140"/>
      <c r="P3" s="802" t="s">
        <v>110</v>
      </c>
      <c r="Q3" s="803"/>
      <c r="R3" s="804"/>
      <c r="S3" s="140"/>
      <c r="T3" s="802" t="s">
        <v>271</v>
      </c>
      <c r="U3" s="803"/>
      <c r="V3" s="804"/>
      <c r="W3" s="140"/>
      <c r="X3" s="802" t="s">
        <v>980</v>
      </c>
      <c r="Y3" s="803"/>
      <c r="Z3" s="804"/>
      <c r="AA3" s="140"/>
      <c r="AB3" s="802" t="s">
        <v>1124</v>
      </c>
      <c r="AC3" s="803"/>
      <c r="AD3" s="804"/>
      <c r="AE3" s="140"/>
      <c r="AF3" s="802" t="s">
        <v>1363</v>
      </c>
      <c r="AG3" s="803"/>
      <c r="AH3" s="803"/>
      <c r="AI3" s="804"/>
      <c r="AJ3" s="203"/>
      <c r="AK3" s="803" t="s">
        <v>1592</v>
      </c>
      <c r="AL3" s="803"/>
      <c r="AM3" s="804"/>
      <c r="AN3" s="203"/>
      <c r="AO3" s="806" t="s">
        <v>1593</v>
      </c>
      <c r="AP3" s="806"/>
      <c r="AQ3" s="806"/>
      <c r="AR3" s="806"/>
    </row>
    <row r="4" spans="1:44" ht="27" x14ac:dyDescent="0.25">
      <c r="A4" s="271" t="s">
        <v>272</v>
      </c>
      <c r="B4" s="271"/>
      <c r="C4" s="308" t="s">
        <v>1657</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N4" s="106"/>
      <c r="AO4" s="108" t="s">
        <v>274</v>
      </c>
      <c r="AP4" s="108" t="s">
        <v>107</v>
      </c>
      <c r="AQ4" s="109" t="s">
        <v>28</v>
      </c>
      <c r="AR4" s="110" t="s">
        <v>275</v>
      </c>
    </row>
    <row r="5" spans="1:44" x14ac:dyDescent="0.25">
      <c r="C5" s="111" t="s">
        <v>276</v>
      </c>
      <c r="AO5" s="103"/>
      <c r="AP5" s="103"/>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80"/>
      <c r="AK6" s="399"/>
      <c r="AL6" s="112"/>
      <c r="AM6" s="396"/>
      <c r="AN6" s="396"/>
      <c r="AQ6" s="80"/>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7"/>
      <c r="AH7" s="225">
        <f>SUM(AH6:AH6)</f>
        <v>0</v>
      </c>
      <c r="AI7" s="226"/>
      <c r="AJ7" s="226"/>
      <c r="AK7" s="227"/>
      <c r="AL7" s="225">
        <f>SUM(AL6:AL6)</f>
        <v>0</v>
      </c>
      <c r="AM7" s="226"/>
      <c r="AN7" s="226"/>
      <c r="AO7" s="227"/>
      <c r="AP7" s="225">
        <f>SUM(AP6:AP6)</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399"/>
      <c r="AL8" s="112"/>
      <c r="AM8" s="396"/>
      <c r="AN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399"/>
      <c r="AL9" s="112"/>
      <c r="AM9" s="396"/>
      <c r="AN9" s="396"/>
      <c r="AQ9" s="80"/>
      <c r="AR9" s="111"/>
    </row>
    <row r="10" spans="1:44" ht="14.25" x14ac:dyDescent="0.3">
      <c r="A10" s="161" t="s">
        <v>332</v>
      </c>
      <c r="B10" s="119" t="s">
        <v>1617</v>
      </c>
      <c r="C10" s="161" t="s">
        <v>1</v>
      </c>
      <c r="D10" s="112">
        <v>18000</v>
      </c>
      <c r="E10" s="112">
        <v>18000</v>
      </c>
      <c r="F10" s="216"/>
      <c r="H10" s="112">
        <v>19000</v>
      </c>
      <c r="I10" s="112">
        <v>19000</v>
      </c>
      <c r="J10" s="216"/>
      <c r="L10" s="112">
        <v>20000</v>
      </c>
      <c r="M10" s="112">
        <v>20000</v>
      </c>
      <c r="N10" s="216"/>
      <c r="P10" s="112">
        <v>21000</v>
      </c>
      <c r="Q10" s="112">
        <v>20000</v>
      </c>
      <c r="R10" s="216"/>
      <c r="T10" s="112">
        <v>20000</v>
      </c>
      <c r="U10" s="112">
        <v>20000</v>
      </c>
      <c r="V10" s="216"/>
      <c r="W10" s="213"/>
      <c r="X10" s="112">
        <v>20000</v>
      </c>
      <c r="Y10" s="112">
        <v>20000</v>
      </c>
      <c r="Z10" s="216"/>
      <c r="AA10" s="213"/>
      <c r="AB10" s="112">
        <v>22000</v>
      </c>
      <c r="AC10" s="112">
        <v>21000</v>
      </c>
      <c r="AD10" s="216"/>
      <c r="AF10" s="112">
        <v>22000</v>
      </c>
      <c r="AG10" s="112">
        <v>22000</v>
      </c>
      <c r="AH10" s="112">
        <v>21000</v>
      </c>
      <c r="AI10" s="216">
        <f>(AG10-AB10)/AB10</f>
        <v>0</v>
      </c>
      <c r="AJ10" s="80"/>
      <c r="AK10" s="112">
        <v>21000</v>
      </c>
      <c r="AL10" s="112">
        <v>15000</v>
      </c>
      <c r="AM10" s="396">
        <f>(AK10-AG10)/AG10</f>
        <v>-4.5454545454545456E-2</v>
      </c>
      <c r="AN10" s="396"/>
      <c r="AO10" s="163">
        <v>22000</v>
      </c>
      <c r="AP10" s="104">
        <f>AO10-AK10</f>
        <v>1000</v>
      </c>
      <c r="AQ10" s="396">
        <f>(AO10-AK10)/AK10</f>
        <v>4.7619047619047616E-2</v>
      </c>
      <c r="AR10" s="156"/>
    </row>
    <row r="11" spans="1:44" s="114" customFormat="1" x14ac:dyDescent="0.25">
      <c r="A11" s="219"/>
      <c r="B11" s="219"/>
      <c r="C11" s="219" t="s">
        <v>279</v>
      </c>
      <c r="D11" s="220">
        <f>SUM(D10:D10)</f>
        <v>18000</v>
      </c>
      <c r="E11" s="220">
        <f>SUM(E10:E10)</f>
        <v>18000</v>
      </c>
      <c r="F11" s="221">
        <v>5.2600000000000001E-2</v>
      </c>
      <c r="G11" s="219"/>
      <c r="H11" s="220">
        <f>SUM(H10:H10)</f>
        <v>19000</v>
      </c>
      <c r="I11" s="220">
        <f>SUM(I10:I10)</f>
        <v>19000</v>
      </c>
      <c r="J11" s="221">
        <v>5.2600000000000001E-2</v>
      </c>
      <c r="K11" s="219"/>
      <c r="L11" s="220">
        <f>SUM(L10:L10)</f>
        <v>20000</v>
      </c>
      <c r="M11" s="220">
        <f>SUM(M10:M10)</f>
        <v>20000</v>
      </c>
      <c r="N11" s="221">
        <v>5.2600000000000001E-2</v>
      </c>
      <c r="O11" s="219"/>
      <c r="P11" s="220">
        <f>SUM(P10:P10)</f>
        <v>21000</v>
      </c>
      <c r="Q11" s="220">
        <f>SUM(Q10:Q10)</f>
        <v>20000</v>
      </c>
      <c r="R11" s="221">
        <v>5.2600000000000001E-2</v>
      </c>
      <c r="S11" s="219"/>
      <c r="T11" s="220">
        <f>SUM(T10:T10)</f>
        <v>20000</v>
      </c>
      <c r="U11" s="220">
        <f>SUM(U10:U10)</f>
        <v>20000</v>
      </c>
      <c r="V11" s="221">
        <v>5.2600000000000001E-2</v>
      </c>
      <c r="W11" s="219"/>
      <c r="X11" s="220">
        <f>SUM(X10:X10)</f>
        <v>20000</v>
      </c>
      <c r="Y11" s="220">
        <f>SUM(Y10:Y10)</f>
        <v>20000</v>
      </c>
      <c r="Z11" s="222">
        <f>(X11-T11)/T11</f>
        <v>0</v>
      </c>
      <c r="AA11" s="219"/>
      <c r="AB11" s="220">
        <f>SUM(AB10:AB10)</f>
        <v>22000</v>
      </c>
      <c r="AC11" s="220">
        <f>SUM(AC10:AC10)</f>
        <v>21000</v>
      </c>
      <c r="AD11" s="221">
        <f>(AB11-X11)/X11</f>
        <v>0.1</v>
      </c>
      <c r="AE11" s="219"/>
      <c r="AF11" s="220">
        <f>SUM(AF10:AF10)</f>
        <v>22000</v>
      </c>
      <c r="AG11" s="220">
        <f>SUM(AG10:AG10)</f>
        <v>22000</v>
      </c>
      <c r="AH11" s="220">
        <f>SUM(AH10:AH10)</f>
        <v>21000</v>
      </c>
      <c r="AI11" s="221">
        <f>(AG11-AB11)/AB11</f>
        <v>0</v>
      </c>
      <c r="AJ11" s="221"/>
      <c r="AK11" s="401">
        <f>SUM(AK10:AK10)</f>
        <v>21000</v>
      </c>
      <c r="AL11" s="401">
        <f>SUM(AL10:AL10)</f>
        <v>15000</v>
      </c>
      <c r="AM11" s="221">
        <f>(AK11-AG11)/AG11</f>
        <v>-4.5454545454545456E-2</v>
      </c>
      <c r="AN11" s="221"/>
      <c r="AO11" s="220">
        <f>SUM(AO10:AO10)</f>
        <v>22000</v>
      </c>
      <c r="AP11" s="220">
        <f>SUM(AP10:AP10)</f>
        <v>1000</v>
      </c>
      <c r="AQ11" s="221">
        <f>(AO11-AK11)/AK11</f>
        <v>4.7619047619047616E-2</v>
      </c>
      <c r="AR11" s="219"/>
    </row>
    <row r="12" spans="1:44" s="211" customFormat="1" x14ac:dyDescent="0.25">
      <c r="D12" s="112"/>
      <c r="E12" s="112"/>
      <c r="F12" s="216"/>
      <c r="G12" s="213"/>
      <c r="H12" s="112"/>
      <c r="I12" s="112"/>
      <c r="J12" s="216"/>
      <c r="K12" s="213"/>
      <c r="L12" s="112"/>
      <c r="M12" s="112"/>
      <c r="N12" s="216"/>
      <c r="O12" s="213"/>
      <c r="P12" s="112"/>
      <c r="Q12" s="112"/>
      <c r="R12" s="216"/>
      <c r="S12" s="213"/>
      <c r="T12" s="112"/>
      <c r="U12" s="112"/>
      <c r="V12" s="216"/>
      <c r="W12" s="213"/>
      <c r="X12" s="112"/>
      <c r="Y12" s="112"/>
      <c r="Z12" s="216"/>
      <c r="AA12" s="213"/>
      <c r="AB12" s="112"/>
      <c r="AC12" s="112"/>
      <c r="AD12" s="216"/>
      <c r="AE12" s="213"/>
      <c r="AF12" s="112"/>
      <c r="AG12" s="112"/>
      <c r="AH12" s="112"/>
      <c r="AI12" s="216"/>
      <c r="AJ12" s="216"/>
      <c r="AK12" s="112"/>
      <c r="AL12" s="112"/>
      <c r="AM12" s="396"/>
      <c r="AN12" s="396"/>
      <c r="AO12" s="112"/>
      <c r="AP12" s="212"/>
      <c r="AQ12" s="216"/>
    </row>
    <row r="13" spans="1:44" s="114" customFormat="1" ht="12.75" x14ac:dyDescent="0.2">
      <c r="A13" s="228"/>
      <c r="B13" s="228"/>
      <c r="C13" s="233" t="s">
        <v>280</v>
      </c>
      <c r="D13" s="230">
        <f>D7+D11</f>
        <v>18000</v>
      </c>
      <c r="E13" s="230">
        <f>E7+E11</f>
        <v>18000</v>
      </c>
      <c r="F13" s="231">
        <v>5.2600000000000001E-2</v>
      </c>
      <c r="G13" s="228"/>
      <c r="H13" s="230">
        <f>H7+H11</f>
        <v>19000</v>
      </c>
      <c r="I13" s="230">
        <f>I7+I11</f>
        <v>19000</v>
      </c>
      <c r="J13" s="231">
        <v>5.2600000000000001E-2</v>
      </c>
      <c r="K13" s="228"/>
      <c r="L13" s="230">
        <f>L7+L11</f>
        <v>20000</v>
      </c>
      <c r="M13" s="230">
        <f>M7+M11</f>
        <v>20000</v>
      </c>
      <c r="N13" s="231">
        <v>5.2600000000000001E-2</v>
      </c>
      <c r="O13" s="228"/>
      <c r="P13" s="230">
        <f>P7+P11</f>
        <v>21000</v>
      </c>
      <c r="Q13" s="230">
        <f>Q7+Q11</f>
        <v>20000</v>
      </c>
      <c r="R13" s="231">
        <v>5.2600000000000001E-2</v>
      </c>
      <c r="S13" s="228"/>
      <c r="T13" s="230">
        <f>T7+T11</f>
        <v>20000</v>
      </c>
      <c r="U13" s="230">
        <f>U7+U11</f>
        <v>20000</v>
      </c>
      <c r="V13" s="231">
        <v>5.2600000000000001E-2</v>
      </c>
      <c r="W13" s="228"/>
      <c r="X13" s="230">
        <f>X7+X11</f>
        <v>20000</v>
      </c>
      <c r="Y13" s="230">
        <f>Y7+Y11</f>
        <v>20000</v>
      </c>
      <c r="Z13" s="231">
        <f>(X13-T13)/T13</f>
        <v>0</v>
      </c>
      <c r="AA13" s="228"/>
      <c r="AB13" s="230">
        <f>AB7+AB11</f>
        <v>22000</v>
      </c>
      <c r="AC13" s="230">
        <f>AC7+AC11</f>
        <v>21000</v>
      </c>
      <c r="AD13" s="231">
        <f>(AB13-X13)/X13</f>
        <v>0.1</v>
      </c>
      <c r="AE13" s="228"/>
      <c r="AF13" s="230">
        <f>AF7+AF11</f>
        <v>22000</v>
      </c>
      <c r="AG13" s="230">
        <f>AG7+AG11</f>
        <v>22000</v>
      </c>
      <c r="AH13" s="230">
        <f>AH7+AH11</f>
        <v>21000</v>
      </c>
      <c r="AI13" s="231">
        <f>(AG13-AB13)/AB13</f>
        <v>0</v>
      </c>
      <c r="AJ13" s="231"/>
      <c r="AK13" s="402">
        <f>AK7+AK11</f>
        <v>21000</v>
      </c>
      <c r="AL13" s="402">
        <f>AL7+AL11</f>
        <v>15000</v>
      </c>
      <c r="AM13" s="231">
        <f>(AK13-AG13)/AG13</f>
        <v>-4.5454545454545456E-2</v>
      </c>
      <c r="AN13" s="231"/>
      <c r="AO13" s="230">
        <f>AO7+AO11</f>
        <v>22000</v>
      </c>
      <c r="AP13" s="230">
        <f>AP7+AP11</f>
        <v>1000</v>
      </c>
      <c r="AQ13" s="231">
        <f>(AO13-AK13)/AK13</f>
        <v>4.7619047619047616E-2</v>
      </c>
      <c r="AR13" s="233"/>
    </row>
    <row r="14" spans="1:44" x14ac:dyDescent="0.25">
      <c r="D14" s="120"/>
      <c r="F14" s="216"/>
      <c r="H14" s="120"/>
      <c r="J14" s="216"/>
      <c r="L14" s="120"/>
      <c r="N14" s="216"/>
      <c r="P14" s="120"/>
      <c r="R14" s="216"/>
      <c r="T14" s="120"/>
      <c r="V14" s="80"/>
      <c r="X14" s="120"/>
      <c r="AB14" s="120"/>
      <c r="AF14" s="120"/>
      <c r="AG14" s="120"/>
      <c r="AK14" s="403"/>
    </row>
    <row r="15" spans="1:44" s="111" customFormat="1" ht="14.25" thickBot="1" x14ac:dyDescent="0.3">
      <c r="C15" s="111" t="s">
        <v>281</v>
      </c>
      <c r="D15" s="122"/>
      <c r="E15" s="121">
        <f>D13-E13</f>
        <v>0</v>
      </c>
      <c r="F15" s="216"/>
      <c r="G15" s="118"/>
      <c r="H15" s="122"/>
      <c r="I15" s="121">
        <f>H13-I13</f>
        <v>0</v>
      </c>
      <c r="J15" s="216"/>
      <c r="K15" s="118"/>
      <c r="L15" s="122"/>
      <c r="M15" s="121">
        <f>L13-M13</f>
        <v>0</v>
      </c>
      <c r="N15" s="216"/>
      <c r="O15" s="118"/>
      <c r="P15" s="122"/>
      <c r="Q15" s="121">
        <f>P13-Q13</f>
        <v>1000</v>
      </c>
      <c r="R15" s="216"/>
      <c r="S15" s="118"/>
      <c r="T15" s="122"/>
      <c r="U15" s="121">
        <f>T13-U13</f>
        <v>0</v>
      </c>
      <c r="V15" s="80"/>
      <c r="W15" s="118"/>
      <c r="X15" s="122"/>
      <c r="Y15" s="121">
        <f>X13-Y13</f>
        <v>0</v>
      </c>
      <c r="AA15" s="118"/>
      <c r="AB15" s="122"/>
      <c r="AC15" s="121">
        <f>AB13-AC13</f>
        <v>1000</v>
      </c>
      <c r="AE15" s="118"/>
      <c r="AF15" s="122"/>
      <c r="AG15" s="122"/>
      <c r="AH15" s="121">
        <f>AG13-AH13</f>
        <v>1000</v>
      </c>
      <c r="AK15" s="122"/>
      <c r="AL15" s="121">
        <f>AK13-AL13</f>
        <v>6000</v>
      </c>
      <c r="AO15" s="123"/>
      <c r="AP15" s="123"/>
    </row>
    <row r="16" spans="1:44" ht="14.25" thickTop="1" x14ac:dyDescent="0.25">
      <c r="D16" s="120"/>
      <c r="F16" s="216"/>
      <c r="H16" s="120"/>
      <c r="J16" s="216"/>
      <c r="L16" s="120"/>
      <c r="N16" s="216"/>
      <c r="P16" s="120"/>
      <c r="R16" s="216"/>
      <c r="T16" s="120"/>
      <c r="V16" s="80"/>
      <c r="X16" s="120"/>
      <c r="AB16" s="120"/>
      <c r="AF16" s="120"/>
      <c r="AG16" s="120"/>
      <c r="AK16" s="403"/>
    </row>
    <row r="17" spans="4:37" x14ac:dyDescent="0.25">
      <c r="D17" s="120"/>
      <c r="F17" s="216"/>
      <c r="H17" s="120"/>
      <c r="J17" s="216"/>
      <c r="L17" s="120"/>
      <c r="N17" s="216"/>
      <c r="P17" s="120"/>
      <c r="R17" s="216"/>
      <c r="T17" s="120"/>
      <c r="V17" s="80"/>
      <c r="X17" s="120"/>
      <c r="AB17" s="120"/>
      <c r="AF17" s="120"/>
      <c r="AG17" s="120"/>
      <c r="AK17" s="403"/>
    </row>
    <row r="18" spans="4:37" x14ac:dyDescent="0.25">
      <c r="D18" s="120"/>
      <c r="F18" s="216"/>
      <c r="H18" s="120"/>
      <c r="J18" s="216"/>
      <c r="L18" s="120"/>
      <c r="N18" s="216"/>
      <c r="P18" s="120"/>
      <c r="R18" s="216"/>
      <c r="T18" s="120"/>
      <c r="V18" s="80"/>
      <c r="X18" s="120"/>
      <c r="AB18" s="120"/>
      <c r="AF18" s="120"/>
      <c r="AG18" s="120"/>
      <c r="AK18" s="403"/>
    </row>
    <row r="19" spans="4:37" x14ac:dyDescent="0.25">
      <c r="D19" s="120"/>
      <c r="F19" s="216"/>
      <c r="H19" s="120"/>
      <c r="J19" s="216"/>
      <c r="L19" s="120"/>
      <c r="N19" s="216"/>
      <c r="P19" s="120"/>
      <c r="R19" s="216"/>
      <c r="T19" s="120"/>
      <c r="V19" s="80"/>
      <c r="X19" s="120"/>
      <c r="AB19" s="120"/>
      <c r="AF19" s="120"/>
      <c r="AG19" s="120"/>
      <c r="AK19" s="403"/>
    </row>
    <row r="20" spans="4:37" x14ac:dyDescent="0.25">
      <c r="D20" s="120"/>
      <c r="F20" s="216"/>
      <c r="H20" s="120"/>
      <c r="J20" s="216"/>
      <c r="L20" s="120"/>
      <c r="N20" s="216"/>
      <c r="P20" s="120"/>
      <c r="R20" s="216"/>
      <c r="T20" s="120"/>
      <c r="V20" s="80"/>
      <c r="X20" s="120"/>
      <c r="AB20" s="120"/>
      <c r="AF20" s="120"/>
      <c r="AG20" s="120"/>
      <c r="AK20" s="403"/>
    </row>
    <row r="21" spans="4:37" x14ac:dyDescent="0.25">
      <c r="D21" s="120"/>
      <c r="F21" s="216"/>
      <c r="H21" s="120"/>
      <c r="J21" s="216"/>
      <c r="L21" s="120"/>
      <c r="N21" s="216"/>
      <c r="P21" s="120"/>
      <c r="R21" s="216"/>
      <c r="T21" s="120"/>
      <c r="V21" s="80"/>
      <c r="X21" s="120"/>
      <c r="AB21" s="120"/>
      <c r="AF21" s="120"/>
      <c r="AG21" s="120"/>
      <c r="AK21" s="403"/>
    </row>
    <row r="22" spans="4:37" x14ac:dyDescent="0.25">
      <c r="D22" s="120"/>
      <c r="F22" s="216"/>
      <c r="H22" s="120"/>
      <c r="J22" s="216"/>
      <c r="L22" s="120"/>
      <c r="N22" s="216"/>
      <c r="P22" s="120"/>
      <c r="R22" s="216"/>
      <c r="T22" s="120"/>
      <c r="V22" s="80"/>
      <c r="X22" s="120"/>
      <c r="AB22" s="120"/>
      <c r="AF22" s="120"/>
      <c r="AG22" s="120"/>
      <c r="AK22" s="403"/>
    </row>
    <row r="23" spans="4:37" x14ac:dyDescent="0.25">
      <c r="D23" s="120"/>
      <c r="F23" s="216"/>
      <c r="H23" s="120"/>
      <c r="J23" s="216"/>
      <c r="L23" s="120"/>
      <c r="N23" s="216"/>
      <c r="P23" s="120"/>
      <c r="R23" s="216"/>
      <c r="T23" s="120"/>
      <c r="V23" s="80"/>
      <c r="X23" s="120"/>
      <c r="AB23" s="120"/>
      <c r="AF23" s="120"/>
      <c r="AG23" s="120"/>
      <c r="AK23" s="403"/>
    </row>
    <row r="24" spans="4:37" x14ac:dyDescent="0.25">
      <c r="D24" s="120"/>
      <c r="F24" s="216"/>
      <c r="H24" s="120"/>
      <c r="J24" s="216"/>
      <c r="L24" s="120"/>
      <c r="N24" s="216"/>
      <c r="P24" s="120"/>
      <c r="R24" s="216"/>
      <c r="T24" s="120"/>
      <c r="V24" s="80"/>
      <c r="X24" s="120"/>
      <c r="AB24" s="120"/>
      <c r="AF24" s="120"/>
      <c r="AG24" s="120"/>
      <c r="AK24" s="403"/>
    </row>
    <row r="25" spans="4:37" x14ac:dyDescent="0.25">
      <c r="D25" s="120"/>
      <c r="F25" s="216"/>
      <c r="H25" s="120"/>
      <c r="J25" s="216"/>
      <c r="L25" s="120"/>
      <c r="N25" s="216"/>
      <c r="P25" s="120"/>
      <c r="R25" s="216"/>
      <c r="T25" s="120"/>
      <c r="V25" s="80"/>
      <c r="X25" s="120"/>
      <c r="AB25" s="120"/>
      <c r="AF25" s="120"/>
      <c r="AG25" s="120"/>
      <c r="AK25" s="403"/>
    </row>
    <row r="26" spans="4:37" x14ac:dyDescent="0.25">
      <c r="D26" s="120"/>
      <c r="F26" s="216"/>
      <c r="H26" s="120"/>
      <c r="J26" s="216"/>
      <c r="L26" s="120"/>
      <c r="N26" s="216"/>
      <c r="P26" s="120"/>
      <c r="R26" s="216"/>
      <c r="T26" s="120"/>
      <c r="V26" s="80"/>
      <c r="X26" s="120"/>
      <c r="AB26" s="120"/>
      <c r="AF26" s="120"/>
      <c r="AG26" s="120"/>
      <c r="AK26" s="403"/>
    </row>
    <row r="27" spans="4:37" x14ac:dyDescent="0.25">
      <c r="D27" s="120"/>
      <c r="F27" s="216"/>
      <c r="H27" s="120"/>
      <c r="J27" s="216"/>
      <c r="L27" s="120"/>
      <c r="N27" s="216"/>
      <c r="P27" s="120"/>
      <c r="R27" s="216"/>
      <c r="T27" s="120"/>
      <c r="V27" s="80"/>
      <c r="X27" s="120"/>
      <c r="AB27" s="120"/>
      <c r="AF27" s="120"/>
      <c r="AG27" s="120"/>
      <c r="AK27" s="403"/>
    </row>
    <row r="28" spans="4:37" x14ac:dyDescent="0.25">
      <c r="D28" s="120"/>
      <c r="F28" s="216"/>
      <c r="H28" s="120"/>
      <c r="J28" s="216"/>
      <c r="L28" s="120"/>
      <c r="N28" s="216"/>
      <c r="P28" s="120"/>
      <c r="R28" s="216"/>
      <c r="T28" s="120"/>
      <c r="V28" s="80"/>
      <c r="X28" s="120"/>
      <c r="AB28" s="120"/>
      <c r="AF28" s="120"/>
      <c r="AG28" s="120"/>
      <c r="AK28" s="403"/>
    </row>
    <row r="29" spans="4:37" x14ac:dyDescent="0.25">
      <c r="D29" s="120"/>
      <c r="F29" s="216"/>
      <c r="H29" s="120"/>
      <c r="J29" s="216"/>
      <c r="L29" s="120"/>
      <c r="N29" s="216"/>
      <c r="P29" s="120"/>
      <c r="R29" s="216"/>
      <c r="T29" s="120"/>
      <c r="V29" s="80"/>
      <c r="X29" s="120"/>
      <c r="AB29" s="120"/>
      <c r="AF29" s="120"/>
      <c r="AG29" s="120"/>
      <c r="AK29" s="403"/>
    </row>
    <row r="30" spans="4:37" x14ac:dyDescent="0.25">
      <c r="D30" s="120"/>
      <c r="F30" s="216"/>
      <c r="H30" s="120"/>
      <c r="J30" s="216"/>
      <c r="L30" s="120"/>
      <c r="N30" s="216"/>
      <c r="P30" s="120"/>
      <c r="R30" s="216"/>
      <c r="T30" s="120"/>
      <c r="V30" s="80"/>
      <c r="X30" s="120"/>
      <c r="AB30" s="120"/>
      <c r="AF30" s="120"/>
      <c r="AG30" s="120"/>
      <c r="AK30" s="403"/>
    </row>
    <row r="31" spans="4:37" x14ac:dyDescent="0.25">
      <c r="D31" s="120"/>
      <c r="F31" s="216"/>
      <c r="H31" s="120"/>
      <c r="J31" s="216"/>
      <c r="L31" s="120"/>
      <c r="N31" s="216"/>
      <c r="P31" s="120"/>
      <c r="R31" s="216"/>
      <c r="T31" s="120"/>
      <c r="V31" s="80"/>
      <c r="X31" s="120"/>
      <c r="AB31" s="120"/>
      <c r="AF31" s="120"/>
      <c r="AG31" s="120"/>
      <c r="AK31" s="403"/>
    </row>
    <row r="32" spans="4:37" x14ac:dyDescent="0.25">
      <c r="D32" s="120"/>
      <c r="F32" s="216"/>
      <c r="H32" s="120"/>
      <c r="J32" s="216"/>
      <c r="L32" s="120"/>
      <c r="N32" s="216"/>
      <c r="P32" s="120"/>
      <c r="R32" s="216"/>
      <c r="T32" s="120"/>
      <c r="V32" s="80"/>
      <c r="X32" s="120"/>
      <c r="AB32" s="120"/>
      <c r="AF32" s="120"/>
      <c r="AG32" s="120"/>
      <c r="AK32" s="403"/>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F38" s="216"/>
      <c r="H38" s="120"/>
      <c r="J38" s="216"/>
      <c r="L38" s="120"/>
      <c r="N38" s="216"/>
      <c r="P38" s="120"/>
      <c r="R38" s="216"/>
      <c r="T38" s="120"/>
      <c r="V38" s="80"/>
      <c r="X38" s="120"/>
      <c r="AB38" s="120"/>
      <c r="AF38" s="120"/>
      <c r="AG38" s="120"/>
      <c r="AK38" s="403"/>
    </row>
    <row r="39" spans="4:37" x14ac:dyDescent="0.25">
      <c r="D39" s="120"/>
      <c r="F39" s="216"/>
      <c r="H39" s="120"/>
      <c r="J39" s="216"/>
      <c r="L39" s="120"/>
      <c r="N39" s="216"/>
      <c r="P39" s="120"/>
      <c r="R39" s="216"/>
      <c r="T39" s="120"/>
      <c r="V39" s="8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4" fitToHeight="0" orientation="landscape" copies="14" r:id="rId1"/>
  <headerFooter alignWithMargins="0">
    <oddHeader>&amp;C&amp;"-,Bold"Proposed Budget &amp; Analysis Report for FY20</oddHeader>
    <oddFooter>&amp;C&amp;D&amp;T&amp;R&amp;A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3:AR386"/>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5" style="161" customWidth="1"/>
    <col min="4" max="4" width="11.85546875" style="211" hidden="1" customWidth="1"/>
    <col min="5" max="5" width="11.42578125" style="211" hidden="1" customWidth="1"/>
    <col min="6" max="6" width="9.28515625" style="211" hidden="1" customWidth="1"/>
    <col min="7" max="7" width="1.42578125" style="213" hidden="1" customWidth="1"/>
    <col min="8" max="8" width="11.85546875" style="211" hidden="1" customWidth="1"/>
    <col min="9" max="9" width="11.42578125" style="211" hidden="1" customWidth="1"/>
    <col min="10" max="10" width="9.28515625" style="211" hidden="1" customWidth="1"/>
    <col min="11" max="11" width="1.42578125" style="213" hidden="1" customWidth="1"/>
    <col min="12" max="12" width="11.85546875" style="211" hidden="1" customWidth="1"/>
    <col min="13" max="13" width="11.42578125" style="211" hidden="1" customWidth="1"/>
    <col min="14" max="14" width="9.28515625" style="211" hidden="1" customWidth="1"/>
    <col min="15" max="15" width="1.42578125" style="213" hidden="1" customWidth="1"/>
    <col min="16" max="16" width="11.85546875" style="211" hidden="1" customWidth="1"/>
    <col min="17" max="17" width="11.42578125" style="211" hidden="1" customWidth="1"/>
    <col min="18" max="18" width="9.28515625" style="211" hidden="1" customWidth="1"/>
    <col min="19" max="19" width="1.42578125" style="213" hidden="1" customWidth="1"/>
    <col min="20" max="20" width="11.85546875" style="161" hidden="1" customWidth="1"/>
    <col min="21" max="21" width="11.42578125" style="161" hidden="1" customWidth="1"/>
    <col min="22" max="22" width="9.28515625" style="161" hidden="1" customWidth="1"/>
    <col min="23" max="23" width="1.42578125" style="103" hidden="1" customWidth="1"/>
    <col min="24" max="25" width="11.5703125" style="161" hidden="1" customWidth="1"/>
    <col min="26" max="26" width="9.140625" style="161" hidden="1" customWidth="1"/>
    <col min="27" max="27" width="1.42578125" style="103" hidden="1" customWidth="1"/>
    <col min="28" max="28" width="14.140625" style="161" customWidth="1"/>
    <col min="29" max="29" width="13.7109375" style="161" customWidth="1"/>
    <col min="30" max="30" width="9.140625" style="161" customWidth="1"/>
    <col min="31" max="31" width="3.5703125" style="213" customWidth="1"/>
    <col min="32" max="32" width="12.28515625" style="211" hidden="1" customWidth="1"/>
    <col min="33" max="33" width="13.85546875" style="211" customWidth="1"/>
    <col min="34" max="34" width="13.7109375" style="211" customWidth="1"/>
    <col min="35" max="35" width="9.140625" style="211" customWidth="1"/>
    <col min="36" max="36" width="1.85546875" style="161" customWidth="1"/>
    <col min="37" max="37" width="13.7109375" style="394" customWidth="1"/>
    <col min="38" max="38" width="12.7109375" style="394" customWidth="1"/>
    <col min="39" max="39" width="9.140625" style="394" customWidth="1"/>
    <col min="40" max="40" width="5" style="397" customWidth="1"/>
    <col min="41" max="41" width="15.42578125" style="104" customWidth="1"/>
    <col min="42" max="42" width="12.28515625" style="104" bestFit="1" customWidth="1"/>
    <col min="43" max="43" width="12.5703125" style="161" bestFit="1" customWidth="1"/>
    <col min="44" max="44" width="25.42578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1658</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9" t="s">
        <v>107</v>
      </c>
      <c r="AQ4" s="109" t="s">
        <v>28</v>
      </c>
      <c r="AR4" s="110" t="s">
        <v>275</v>
      </c>
    </row>
    <row r="5" spans="1:44" x14ac:dyDescent="0.25">
      <c r="C5" s="111" t="s">
        <v>276</v>
      </c>
      <c r="AO5" s="103"/>
      <c r="AP5" s="103"/>
      <c r="AR5" s="111"/>
    </row>
    <row r="6" spans="1:44" x14ac:dyDescent="0.25">
      <c r="A6" s="161" t="s">
        <v>334</v>
      </c>
      <c r="B6" s="119" t="str">
        <f>MID(A6,14,4)</f>
        <v>5101</v>
      </c>
      <c r="C6" s="161" t="s">
        <v>1340</v>
      </c>
      <c r="D6" s="245">
        <v>1500</v>
      </c>
      <c r="E6" s="245">
        <v>1500</v>
      </c>
      <c r="F6" s="216"/>
      <c r="H6" s="245">
        <v>1500</v>
      </c>
      <c r="I6" s="245">
        <v>1500</v>
      </c>
      <c r="J6" s="216"/>
      <c r="L6" s="245">
        <v>1500</v>
      </c>
      <c r="M6" s="245">
        <v>1500</v>
      </c>
      <c r="N6" s="216"/>
      <c r="P6" s="245">
        <v>1500</v>
      </c>
      <c r="Q6" s="245">
        <v>1500</v>
      </c>
      <c r="R6" s="216"/>
      <c r="T6" s="245">
        <v>1500</v>
      </c>
      <c r="U6" s="245">
        <v>1500</v>
      </c>
      <c r="V6" s="216"/>
      <c r="W6" s="213"/>
      <c r="X6" s="245">
        <v>1500</v>
      </c>
      <c r="Y6" s="245">
        <v>1500</v>
      </c>
      <c r="Z6" s="216">
        <v>0</v>
      </c>
      <c r="AA6" s="213"/>
      <c r="AB6" s="245">
        <v>1500</v>
      </c>
      <c r="AC6" s="245">
        <v>1500</v>
      </c>
      <c r="AD6" s="216">
        <f>(AB6-X6)/X6</f>
        <v>0</v>
      </c>
      <c r="AF6" s="245">
        <v>1500</v>
      </c>
      <c r="AG6" s="380">
        <v>1500</v>
      </c>
      <c r="AH6" s="245">
        <v>1500</v>
      </c>
      <c r="AI6" s="216">
        <f>(AG6-AB6)/AB6</f>
        <v>0</v>
      </c>
      <c r="AJ6" s="80"/>
      <c r="AK6" s="398">
        <v>1500</v>
      </c>
      <c r="AL6" s="398">
        <v>750</v>
      </c>
      <c r="AM6" s="396">
        <f>(AK6-AG6)/AG6</f>
        <v>0</v>
      </c>
      <c r="AO6" s="408">
        <v>1500</v>
      </c>
      <c r="AP6" s="399">
        <f>AO6-AK6</f>
        <v>0</v>
      </c>
      <c r="AQ6" s="396">
        <f>(AO6-AK6)/AK6</f>
        <v>0</v>
      </c>
      <c r="AR6" s="166" t="s">
        <v>335</v>
      </c>
    </row>
    <row r="7" spans="1:44" x14ac:dyDescent="0.25">
      <c r="A7" s="161" t="s">
        <v>333</v>
      </c>
      <c r="B7" s="119" t="str">
        <f>MID(A7,14,4)</f>
        <v>5105</v>
      </c>
      <c r="C7" s="161" t="s">
        <v>1760</v>
      </c>
      <c r="D7" s="245">
        <v>63717</v>
      </c>
      <c r="E7" s="245">
        <v>63716.98</v>
      </c>
      <c r="F7" s="216"/>
      <c r="H7" s="245">
        <v>67676</v>
      </c>
      <c r="I7" s="245">
        <v>67676.259999999995</v>
      </c>
      <c r="J7" s="216"/>
      <c r="L7" s="245">
        <v>72118.48</v>
      </c>
      <c r="M7" s="245">
        <v>71842.210000000006</v>
      </c>
      <c r="N7" s="216"/>
      <c r="P7" s="245">
        <v>76850.929999999993</v>
      </c>
      <c r="Q7" s="245">
        <v>76850.929999999993</v>
      </c>
      <c r="R7" s="216"/>
      <c r="T7" s="162">
        <v>77996.460000000006</v>
      </c>
      <c r="U7" s="162">
        <v>77996.5</v>
      </c>
      <c r="V7" s="80"/>
      <c r="X7" s="162">
        <v>79324.17</v>
      </c>
      <c r="Y7" s="162">
        <v>79626.91</v>
      </c>
      <c r="Z7" s="80">
        <v>1.7022695645417647E-2</v>
      </c>
      <c r="AB7" s="162">
        <v>79805.19</v>
      </c>
      <c r="AC7" s="162">
        <v>79727.789999999994</v>
      </c>
      <c r="AD7" s="80">
        <f>(AB7-X7)/X7</f>
        <v>6.0639777258306524E-3</v>
      </c>
      <c r="AF7" s="245">
        <v>80609.070000000007</v>
      </c>
      <c r="AG7" s="380">
        <v>87683.21</v>
      </c>
      <c r="AH7" s="245">
        <v>87683.21</v>
      </c>
      <c r="AI7" s="216">
        <f>(AG7-AB7)/AB7</f>
        <v>9.8715634910461383E-2</v>
      </c>
      <c r="AJ7" s="80"/>
      <c r="AK7" s="398">
        <v>92486.39</v>
      </c>
      <c r="AL7" s="398">
        <v>44294.29</v>
      </c>
      <c r="AM7" s="396">
        <f>(AK7-AG7)/AG7</f>
        <v>5.4778788322188396E-2</v>
      </c>
      <c r="AO7" s="163">
        <f>'FY20 Payroll Schedule'!J13</f>
        <v>97832.196000000011</v>
      </c>
      <c r="AP7" s="104">
        <f>AO7-AK7</f>
        <v>5345.8060000000114</v>
      </c>
      <c r="AQ7" s="396">
        <f>(AO7-AK7)/AK7</f>
        <v>5.7801001855516378E-2</v>
      </c>
      <c r="AR7" s="400" t="s">
        <v>1763</v>
      </c>
    </row>
    <row r="8" spans="1:44" x14ac:dyDescent="0.25">
      <c r="A8" s="161" t="s">
        <v>336</v>
      </c>
      <c r="B8" s="119" t="str">
        <f>MID(A8,14,4)</f>
        <v>5120</v>
      </c>
      <c r="C8" s="161" t="s">
        <v>1752</v>
      </c>
      <c r="D8" s="245">
        <v>1200</v>
      </c>
      <c r="E8" s="245">
        <v>1200</v>
      </c>
      <c r="F8" s="216"/>
      <c r="H8" s="245">
        <v>1200</v>
      </c>
      <c r="I8" s="245">
        <v>207.63</v>
      </c>
      <c r="J8" s="216"/>
      <c r="L8" s="245">
        <v>1200</v>
      </c>
      <c r="M8" s="245">
        <v>718.24</v>
      </c>
      <c r="N8" s="216"/>
      <c r="P8" s="245">
        <v>3300</v>
      </c>
      <c r="Q8" s="245">
        <v>1725.3</v>
      </c>
      <c r="R8" s="216"/>
      <c r="T8" s="245">
        <v>3300</v>
      </c>
      <c r="U8" s="245">
        <v>3300</v>
      </c>
      <c r="V8" s="216"/>
      <c r="W8" s="213"/>
      <c r="X8" s="245">
        <v>3300</v>
      </c>
      <c r="Y8" s="245">
        <v>3157.66</v>
      </c>
      <c r="Z8" s="216">
        <v>0</v>
      </c>
      <c r="AA8" s="213"/>
      <c r="AB8" s="245">
        <v>3330.98</v>
      </c>
      <c r="AC8" s="245">
        <v>1605.3</v>
      </c>
      <c r="AD8" s="216">
        <f>(AB8-X8)/X8</f>
        <v>9.387878787878794E-3</v>
      </c>
      <c r="AF8" s="245">
        <v>3363.96</v>
      </c>
      <c r="AG8" s="380">
        <v>3363.96</v>
      </c>
      <c r="AH8" s="245">
        <v>3363.96</v>
      </c>
      <c r="AI8" s="216">
        <f>(AG8-AB8)/AB8</f>
        <v>9.9009900990099063E-3</v>
      </c>
      <c r="AJ8" s="80"/>
      <c r="AK8" s="398">
        <v>3806.28</v>
      </c>
      <c r="AL8" s="398">
        <v>1777.26</v>
      </c>
      <c r="AM8" s="396">
        <f>(AK8-AG8)/AG8</f>
        <v>0.13148788927335645</v>
      </c>
      <c r="AO8" s="408">
        <f>'FY20 Payroll Schedule'!J15</f>
        <v>4027.4400000000005</v>
      </c>
      <c r="AP8" s="399">
        <f>AO8-AK8</f>
        <v>221.16000000000031</v>
      </c>
      <c r="AQ8" s="396">
        <f>(AO8-AK8)/AK8</f>
        <v>5.8103975535168273E-2</v>
      </c>
      <c r="AR8" s="166"/>
    </row>
    <row r="9" spans="1:44" x14ac:dyDescent="0.25">
      <c r="A9" s="161" t="s">
        <v>337</v>
      </c>
      <c r="B9" s="119" t="str">
        <f>MID(A9,14,4)</f>
        <v>5142</v>
      </c>
      <c r="C9" s="161" t="s">
        <v>1455</v>
      </c>
      <c r="D9" s="245">
        <v>637</v>
      </c>
      <c r="E9" s="245">
        <v>0</v>
      </c>
      <c r="F9" s="216"/>
      <c r="H9" s="245">
        <v>676</v>
      </c>
      <c r="I9" s="245">
        <v>676</v>
      </c>
      <c r="J9" s="216"/>
      <c r="L9" s="245">
        <v>721.18</v>
      </c>
      <c r="M9" s="245">
        <v>721.18</v>
      </c>
      <c r="N9" s="216"/>
      <c r="P9" s="245">
        <v>1537.02</v>
      </c>
      <c r="Q9" s="245">
        <v>1537.02</v>
      </c>
      <c r="R9" s="216"/>
      <c r="T9" s="245">
        <v>1559.93</v>
      </c>
      <c r="U9" s="245">
        <v>1559.93</v>
      </c>
      <c r="V9" s="216"/>
      <c r="W9" s="213"/>
      <c r="X9" s="245">
        <v>1586.48</v>
      </c>
      <c r="Y9" s="245">
        <v>1586.48</v>
      </c>
      <c r="Z9" s="216">
        <v>1.7019994486932075E-2</v>
      </c>
      <c r="AA9" s="213"/>
      <c r="AB9" s="245">
        <v>1596.1</v>
      </c>
      <c r="AC9" s="245">
        <v>1596.23</v>
      </c>
      <c r="AD9" s="216">
        <f>(AB9-X9)/X9</f>
        <v>6.0637385910946818E-3</v>
      </c>
      <c r="AF9" s="245">
        <v>1612.18</v>
      </c>
      <c r="AG9" s="380">
        <v>1754.07</v>
      </c>
      <c r="AH9" s="245">
        <v>1753.66</v>
      </c>
      <c r="AI9" s="216">
        <f t="shared" ref="AI9:AI30" si="0">(AG9-AB9)/AB9</f>
        <v>9.8972495457678111E-2</v>
      </c>
      <c r="AJ9" s="80"/>
      <c r="AK9" s="398">
        <v>2774.59</v>
      </c>
      <c r="AL9" s="398">
        <v>2774.59</v>
      </c>
      <c r="AM9" s="396">
        <f>(AK9-AG9)/AG9</f>
        <v>0.58180118239294909</v>
      </c>
      <c r="AO9" s="163">
        <f>'FY20 Payroll Schedule'!K13</f>
        <v>2934.9658800000002</v>
      </c>
      <c r="AP9" s="399">
        <f>AO9-AK9</f>
        <v>160.37588000000005</v>
      </c>
      <c r="AQ9" s="396">
        <f>(AO9-AK9)/AK9</f>
        <v>5.7801649973509617E-2</v>
      </c>
      <c r="AR9" s="400" t="s">
        <v>1764</v>
      </c>
    </row>
    <row r="10" spans="1:44" s="114" customFormat="1" x14ac:dyDescent="0.25">
      <c r="A10" s="224"/>
      <c r="B10" s="224"/>
      <c r="C10" s="224" t="s">
        <v>26</v>
      </c>
      <c r="D10" s="225">
        <f>SUM(D7:D9)</f>
        <v>65554</v>
      </c>
      <c r="E10" s="225">
        <f>SUM(E7:E9)</f>
        <v>64916.98</v>
      </c>
      <c r="F10" s="226">
        <v>6.3200000000000006E-2</v>
      </c>
      <c r="G10" s="224"/>
      <c r="H10" s="225">
        <f>SUM(H7:H9)</f>
        <v>69552</v>
      </c>
      <c r="I10" s="225">
        <f>SUM(I7:I9)</f>
        <v>68559.89</v>
      </c>
      <c r="J10" s="226">
        <v>6.3200000000000006E-2</v>
      </c>
      <c r="K10" s="224"/>
      <c r="L10" s="225">
        <f>SUM(L7:L9)</f>
        <v>74039.659999999989</v>
      </c>
      <c r="M10" s="225">
        <f>SUM(M7:M9)</f>
        <v>73281.63</v>
      </c>
      <c r="N10" s="226">
        <v>6.3200000000000006E-2</v>
      </c>
      <c r="O10" s="224"/>
      <c r="P10" s="225">
        <f>SUM(P7:P9)</f>
        <v>81687.95</v>
      </c>
      <c r="Q10" s="225">
        <f>SUM(Q7:Q9)</f>
        <v>80113.25</v>
      </c>
      <c r="R10" s="226">
        <v>6.3200000000000006E-2</v>
      </c>
      <c r="S10" s="224"/>
      <c r="T10" s="225">
        <f>SUM(T7:T9)</f>
        <v>82856.39</v>
      </c>
      <c r="U10" s="225">
        <f>SUM(U7:U9)</f>
        <v>82856.429999999993</v>
      </c>
      <c r="V10" s="226">
        <v>6.3200000000000006E-2</v>
      </c>
      <c r="W10" s="224"/>
      <c r="X10" s="225">
        <f>SUM(X7:X9)</f>
        <v>84210.65</v>
      </c>
      <c r="Y10" s="225">
        <f>SUM(Y7:Y9)</f>
        <v>84371.05</v>
      </c>
      <c r="Z10" s="226">
        <f>(X10-T10)/T10</f>
        <v>1.634466575239393E-2</v>
      </c>
      <c r="AA10" s="224"/>
      <c r="AB10" s="225">
        <f>SUM(AB6:AB9)</f>
        <v>86232.27</v>
      </c>
      <c r="AC10" s="225">
        <f>SUM(AC6:AC9)</f>
        <v>84429.319999999992</v>
      </c>
      <c r="AD10" s="226">
        <f>(AB10-X10)/X10</f>
        <v>2.4006702240156205E-2</v>
      </c>
      <c r="AE10" s="224"/>
      <c r="AF10" s="225">
        <f>SUM(AF7:AF9)</f>
        <v>85585.21</v>
      </c>
      <c r="AG10" s="225">
        <f>SUM(AG6:AG9)</f>
        <v>94301.24000000002</v>
      </c>
      <c r="AH10" s="225">
        <f>SUM(AH6:AH9)</f>
        <v>94300.830000000016</v>
      </c>
      <c r="AI10" s="226">
        <f t="shared" si="0"/>
        <v>9.3572510615805612E-2</v>
      </c>
      <c r="AJ10" s="226"/>
      <c r="AK10" s="225">
        <f>SUM(AK6:AK9)</f>
        <v>100567.26</v>
      </c>
      <c r="AL10" s="225">
        <f>SUM(AL6:AL9)</f>
        <v>49596.14</v>
      </c>
      <c r="AM10" s="226">
        <f>(AK10-AG10)/AG10</f>
        <v>6.6446846298097176E-2</v>
      </c>
      <c r="AN10" s="224"/>
      <c r="AO10" s="789">
        <f>SUM(AO6:AO9)+0.01</f>
        <v>106294.61188000001</v>
      </c>
      <c r="AP10" s="225">
        <f>SUM(AP6:AP9)</f>
        <v>5727.3418800000109</v>
      </c>
      <c r="AQ10" s="226">
        <f>(AO10-AK10)/AK10</f>
        <v>5.6950461611462985E-2</v>
      </c>
      <c r="AR10" s="224"/>
    </row>
    <row r="11" spans="1:44" x14ac:dyDescent="0.25">
      <c r="D11" s="112"/>
      <c r="E11" s="112"/>
      <c r="H11" s="112"/>
      <c r="I11" s="112"/>
      <c r="L11" s="112"/>
      <c r="M11" s="112"/>
      <c r="P11" s="112"/>
      <c r="Q11" s="112"/>
      <c r="T11" s="112"/>
      <c r="U11" s="112"/>
      <c r="X11" s="112"/>
      <c r="Y11" s="112"/>
      <c r="AB11" s="112"/>
      <c r="AC11" s="112"/>
      <c r="AF11" s="112"/>
      <c r="AG11" s="112"/>
      <c r="AH11" s="112"/>
      <c r="AK11" s="112"/>
      <c r="AL11" s="112"/>
      <c r="AP11" s="212"/>
      <c r="AQ11" s="394"/>
    </row>
    <row r="12" spans="1:44" x14ac:dyDescent="0.25">
      <c r="C12" s="111" t="s">
        <v>277</v>
      </c>
      <c r="D12" s="112"/>
      <c r="E12" s="112"/>
      <c r="F12" s="216"/>
      <c r="H12" s="112"/>
      <c r="I12" s="112"/>
      <c r="J12" s="216"/>
      <c r="L12" s="112"/>
      <c r="M12" s="112"/>
      <c r="N12" s="216"/>
      <c r="P12" s="112"/>
      <c r="Q12" s="112"/>
      <c r="R12" s="216"/>
      <c r="T12" s="112"/>
      <c r="U12" s="112"/>
      <c r="V12" s="80"/>
      <c r="X12" s="112"/>
      <c r="Y12" s="112"/>
      <c r="Z12" s="80"/>
      <c r="AB12" s="112"/>
      <c r="AC12" s="112"/>
      <c r="AD12" s="80"/>
      <c r="AF12" s="112"/>
      <c r="AG12" s="112"/>
      <c r="AH12" s="112"/>
      <c r="AI12" s="216"/>
      <c r="AJ12" s="80"/>
      <c r="AK12" s="112"/>
      <c r="AL12" s="112"/>
      <c r="AM12" s="396"/>
      <c r="AP12" s="212"/>
      <c r="AQ12" s="396"/>
      <c r="AR12" s="111"/>
    </row>
    <row r="13" spans="1:44" hidden="1" x14ac:dyDescent="0.25">
      <c r="A13" s="161" t="s">
        <v>338</v>
      </c>
      <c r="B13" s="119" t="str">
        <f t="shared" ref="B13:B26" si="1">MID(A13,14,4)</f>
        <v>5247</v>
      </c>
      <c r="C13" s="161" t="s">
        <v>1635</v>
      </c>
      <c r="D13" s="245">
        <v>200</v>
      </c>
      <c r="E13" s="245">
        <v>99.99</v>
      </c>
      <c r="F13" s="216"/>
      <c r="H13" s="245">
        <v>200</v>
      </c>
      <c r="I13" s="245">
        <v>0</v>
      </c>
      <c r="J13" s="216"/>
      <c r="L13" s="245">
        <v>100</v>
      </c>
      <c r="M13" s="245">
        <v>0</v>
      </c>
      <c r="N13" s="216"/>
      <c r="P13" s="245">
        <v>100</v>
      </c>
      <c r="Q13" s="245">
        <v>0</v>
      </c>
      <c r="R13" s="216"/>
      <c r="T13" s="245">
        <v>0</v>
      </c>
      <c r="U13" s="245">
        <v>0</v>
      </c>
      <c r="V13" s="216"/>
      <c r="W13" s="213"/>
      <c r="X13" s="245">
        <v>0</v>
      </c>
      <c r="Y13" s="245">
        <v>0</v>
      </c>
      <c r="Z13" s="216" t="e">
        <v>#DIV/0!</v>
      </c>
      <c r="AA13" s="213"/>
      <c r="AB13" s="245">
        <v>0</v>
      </c>
      <c r="AC13" s="245">
        <v>0</v>
      </c>
      <c r="AD13" s="216" t="e">
        <f t="shared" ref="AD13:AD27" si="2">(AB13-X13)/X13</f>
        <v>#DIV/0!</v>
      </c>
      <c r="AF13" s="245">
        <v>0</v>
      </c>
      <c r="AG13" s="245">
        <v>0</v>
      </c>
      <c r="AH13" s="245"/>
      <c r="AI13" s="216"/>
      <c r="AJ13" s="80"/>
      <c r="AK13" s="398">
        <v>0</v>
      </c>
      <c r="AL13" s="398">
        <v>0</v>
      </c>
      <c r="AM13" s="396" t="e">
        <f t="shared" ref="AM13:AM27" si="3">(AK13-AG13)/AG13</f>
        <v>#DIV/0!</v>
      </c>
      <c r="AO13" s="164">
        <v>0</v>
      </c>
      <c r="AP13" s="212">
        <f>AO13-AG13</f>
        <v>0</v>
      </c>
      <c r="AQ13" s="396" t="e">
        <f t="shared" ref="AQ13:AQ27" si="4">(AO13-AK13)/AK13</f>
        <v>#DIV/0!</v>
      </c>
      <c r="AR13" s="400"/>
    </row>
    <row r="14" spans="1:44" s="211" customFormat="1" x14ac:dyDescent="0.25">
      <c r="A14" s="211" t="s">
        <v>339</v>
      </c>
      <c r="B14" s="214" t="str">
        <f t="shared" si="1"/>
        <v>5248</v>
      </c>
      <c r="C14" s="211" t="s">
        <v>1613</v>
      </c>
      <c r="D14" s="245">
        <v>9810</v>
      </c>
      <c r="E14" s="245">
        <v>9809.99</v>
      </c>
      <c r="F14" s="216"/>
      <c r="G14" s="213"/>
      <c r="H14" s="245">
        <v>10350</v>
      </c>
      <c r="I14" s="245">
        <v>10336.9</v>
      </c>
      <c r="J14" s="216"/>
      <c r="K14" s="213"/>
      <c r="L14" s="245">
        <v>10984</v>
      </c>
      <c r="M14" s="245">
        <v>10983.4</v>
      </c>
      <c r="N14" s="216"/>
      <c r="O14" s="213"/>
      <c r="P14" s="245">
        <v>10984</v>
      </c>
      <c r="Q14" s="245">
        <v>10948</v>
      </c>
      <c r="R14" s="216"/>
      <c r="S14" s="213"/>
      <c r="T14" s="245">
        <v>14394.5</v>
      </c>
      <c r="U14" s="245">
        <v>9815.16</v>
      </c>
      <c r="V14" s="216"/>
      <c r="W14" s="213"/>
      <c r="X14" s="245">
        <v>16945.5</v>
      </c>
      <c r="Y14" s="245">
        <v>16945.5</v>
      </c>
      <c r="Z14" s="216">
        <v>0.17722046615026574</v>
      </c>
      <c r="AA14" s="213"/>
      <c r="AB14" s="245">
        <v>20574.5</v>
      </c>
      <c r="AC14" s="245">
        <v>21464.5</v>
      </c>
      <c r="AD14" s="216">
        <f t="shared" si="2"/>
        <v>0.21415715086601161</v>
      </c>
      <c r="AE14" s="213"/>
      <c r="AF14" s="245">
        <v>21700</v>
      </c>
      <c r="AG14" s="245">
        <v>21700</v>
      </c>
      <c r="AH14" s="245">
        <v>19433.34</v>
      </c>
      <c r="AI14" s="216">
        <f t="shared" si="0"/>
        <v>5.4703637998493281E-2</v>
      </c>
      <c r="AJ14" s="216"/>
      <c r="AK14" s="398">
        <v>22100</v>
      </c>
      <c r="AL14" s="398">
        <v>11079.17</v>
      </c>
      <c r="AM14" s="396">
        <f t="shared" si="3"/>
        <v>1.8433179723502304E-2</v>
      </c>
      <c r="AN14" s="397"/>
      <c r="AO14" s="291">
        <v>22683</v>
      </c>
      <c r="AP14" s="399">
        <f t="shared" ref="AP14:AP26" si="5">AO14-AK14</f>
        <v>583</v>
      </c>
      <c r="AQ14" s="396">
        <f t="shared" si="4"/>
        <v>2.6380090497737558E-2</v>
      </c>
      <c r="AR14" s="400" t="s">
        <v>1289</v>
      </c>
    </row>
    <row r="15" spans="1:44" s="211" customFormat="1" x14ac:dyDescent="0.25">
      <c r="A15" s="211" t="s">
        <v>340</v>
      </c>
      <c r="B15" s="395" t="str">
        <f t="shared" si="1"/>
        <v>5303</v>
      </c>
      <c r="C15" s="211" t="s">
        <v>1495</v>
      </c>
      <c r="D15" s="245">
        <v>500</v>
      </c>
      <c r="E15" s="245">
        <v>579.59</v>
      </c>
      <c r="F15" s="216"/>
      <c r="G15" s="213"/>
      <c r="H15" s="245">
        <v>500</v>
      </c>
      <c r="I15" s="245">
        <v>0</v>
      </c>
      <c r="J15" s="216"/>
      <c r="K15" s="213"/>
      <c r="L15" s="245">
        <v>600</v>
      </c>
      <c r="M15" s="245">
        <v>530</v>
      </c>
      <c r="N15" s="216"/>
      <c r="O15" s="213"/>
      <c r="P15" s="245">
        <v>600</v>
      </c>
      <c r="Q15" s="245">
        <v>539.25</v>
      </c>
      <c r="R15" s="216"/>
      <c r="S15" s="213"/>
      <c r="T15" s="245">
        <v>550</v>
      </c>
      <c r="U15" s="245">
        <v>12.17</v>
      </c>
      <c r="V15" s="216"/>
      <c r="W15" s="213"/>
      <c r="X15" s="245">
        <v>550</v>
      </c>
      <c r="Y15" s="245">
        <v>565</v>
      </c>
      <c r="Z15" s="216">
        <v>0</v>
      </c>
      <c r="AA15" s="213"/>
      <c r="AB15" s="245">
        <v>565</v>
      </c>
      <c r="AC15" s="245">
        <v>509.85</v>
      </c>
      <c r="AD15" s="216">
        <f t="shared" si="2"/>
        <v>2.7272727272727271E-2</v>
      </c>
      <c r="AE15" s="213"/>
      <c r="AF15" s="245">
        <v>715</v>
      </c>
      <c r="AG15" s="245">
        <v>715</v>
      </c>
      <c r="AH15" s="245">
        <v>434.65</v>
      </c>
      <c r="AI15" s="216">
        <f t="shared" si="0"/>
        <v>0.26548672566371684</v>
      </c>
      <c r="AJ15" s="216"/>
      <c r="AK15" s="398">
        <v>715</v>
      </c>
      <c r="AL15" s="398">
        <v>50</v>
      </c>
      <c r="AM15" s="396">
        <f t="shared" si="3"/>
        <v>0</v>
      </c>
      <c r="AN15" s="397"/>
      <c r="AO15" s="291">
        <v>715</v>
      </c>
      <c r="AP15" s="399">
        <f t="shared" si="5"/>
        <v>0</v>
      </c>
      <c r="AQ15" s="396">
        <f t="shared" si="4"/>
        <v>0</v>
      </c>
      <c r="AR15" s="288"/>
    </row>
    <row r="16" spans="1:44" s="211" customFormat="1" x14ac:dyDescent="0.25">
      <c r="A16" s="395" t="s">
        <v>1765</v>
      </c>
      <c r="B16" s="395" t="str">
        <f t="shared" si="1"/>
        <v>5306</v>
      </c>
      <c r="C16" s="211" t="s">
        <v>1599</v>
      </c>
      <c r="D16" s="245">
        <v>0</v>
      </c>
      <c r="E16" s="245">
        <v>0</v>
      </c>
      <c r="F16" s="216"/>
      <c r="G16" s="213"/>
      <c r="H16" s="245">
        <v>0</v>
      </c>
      <c r="I16" s="245">
        <v>0</v>
      </c>
      <c r="J16" s="216"/>
      <c r="K16" s="213"/>
      <c r="L16" s="245">
        <v>0</v>
      </c>
      <c r="M16" s="245">
        <v>0</v>
      </c>
      <c r="N16" s="216"/>
      <c r="O16" s="213"/>
      <c r="P16" s="245">
        <v>0</v>
      </c>
      <c r="Q16" s="245">
        <v>0</v>
      </c>
      <c r="R16" s="216"/>
      <c r="S16" s="213"/>
      <c r="T16" s="245">
        <v>0</v>
      </c>
      <c r="U16" s="245">
        <v>0</v>
      </c>
      <c r="V16" s="216"/>
      <c r="W16" s="213"/>
      <c r="X16" s="245">
        <v>0</v>
      </c>
      <c r="Y16" s="245">
        <v>42.7</v>
      </c>
      <c r="Z16" s="216" t="e">
        <v>#DIV/0!</v>
      </c>
      <c r="AA16" s="213"/>
      <c r="AB16" s="245">
        <v>45</v>
      </c>
      <c r="AC16" s="245">
        <v>0</v>
      </c>
      <c r="AD16" s="216"/>
      <c r="AE16" s="213"/>
      <c r="AF16" s="245">
        <v>45</v>
      </c>
      <c r="AG16" s="245">
        <v>45</v>
      </c>
      <c r="AH16" s="245">
        <v>0</v>
      </c>
      <c r="AI16" s="216">
        <f t="shared" si="0"/>
        <v>0</v>
      </c>
      <c r="AJ16" s="216"/>
      <c r="AK16" s="398">
        <v>45</v>
      </c>
      <c r="AL16" s="398">
        <v>0</v>
      </c>
      <c r="AM16" s="396">
        <f t="shared" si="3"/>
        <v>0</v>
      </c>
      <c r="AN16" s="397"/>
      <c r="AO16" s="291">
        <v>45</v>
      </c>
      <c r="AP16" s="399">
        <f t="shared" si="5"/>
        <v>0</v>
      </c>
      <c r="AQ16" s="396">
        <f t="shared" si="4"/>
        <v>0</v>
      </c>
      <c r="AR16" s="288"/>
    </row>
    <row r="17" spans="1:44" s="211" customFormat="1" x14ac:dyDescent="0.25">
      <c r="A17" s="211" t="s">
        <v>341</v>
      </c>
      <c r="B17" s="395" t="str">
        <f t="shared" si="1"/>
        <v>5313</v>
      </c>
      <c r="C17" s="211" t="s">
        <v>1761</v>
      </c>
      <c r="D17" s="245">
        <v>800</v>
      </c>
      <c r="E17" s="245">
        <v>800</v>
      </c>
      <c r="F17" s="216"/>
      <c r="G17" s="213"/>
      <c r="H17" s="245">
        <v>800</v>
      </c>
      <c r="I17" s="245">
        <v>100</v>
      </c>
      <c r="J17" s="216"/>
      <c r="K17" s="213"/>
      <c r="L17" s="245">
        <v>800</v>
      </c>
      <c r="M17" s="245">
        <v>800</v>
      </c>
      <c r="N17" s="216"/>
      <c r="O17" s="213"/>
      <c r="P17" s="245">
        <v>800</v>
      </c>
      <c r="Q17" s="245">
        <v>800</v>
      </c>
      <c r="R17" s="216"/>
      <c r="S17" s="213"/>
      <c r="T17" s="245">
        <v>800</v>
      </c>
      <c r="U17" s="245">
        <v>800</v>
      </c>
      <c r="V17" s="216"/>
      <c r="W17" s="213"/>
      <c r="X17" s="245">
        <v>1200</v>
      </c>
      <c r="Y17" s="245">
        <v>1200</v>
      </c>
      <c r="Z17" s="216">
        <v>0.5</v>
      </c>
      <c r="AA17" s="213"/>
      <c r="AB17" s="245">
        <v>1400</v>
      </c>
      <c r="AC17" s="245">
        <v>1700</v>
      </c>
      <c r="AD17" s="216">
        <f t="shared" si="2"/>
        <v>0.16666666666666666</v>
      </c>
      <c r="AE17" s="213"/>
      <c r="AF17" s="245">
        <v>1600</v>
      </c>
      <c r="AG17" s="245">
        <v>1600</v>
      </c>
      <c r="AH17" s="245">
        <v>1600</v>
      </c>
      <c r="AI17" s="216">
        <f t="shared" si="0"/>
        <v>0.14285714285714285</v>
      </c>
      <c r="AJ17" s="216"/>
      <c r="AK17" s="398">
        <v>1700</v>
      </c>
      <c r="AL17" s="398">
        <v>0</v>
      </c>
      <c r="AM17" s="396">
        <f t="shared" si="3"/>
        <v>6.25E-2</v>
      </c>
      <c r="AN17" s="397"/>
      <c r="AO17" s="291">
        <v>1700</v>
      </c>
      <c r="AP17" s="399">
        <f t="shared" si="5"/>
        <v>0</v>
      </c>
      <c r="AQ17" s="396">
        <f t="shared" si="4"/>
        <v>0</v>
      </c>
      <c r="AR17" s="288" t="s">
        <v>1185</v>
      </c>
    </row>
    <row r="18" spans="1:44" s="211" customFormat="1" x14ac:dyDescent="0.25">
      <c r="A18" s="211" t="s">
        <v>342</v>
      </c>
      <c r="B18" s="395" t="str">
        <f t="shared" si="1"/>
        <v>5341</v>
      </c>
      <c r="C18" s="211" t="s">
        <v>1640</v>
      </c>
      <c r="D18" s="245">
        <v>80</v>
      </c>
      <c r="E18" s="245">
        <v>0</v>
      </c>
      <c r="F18" s="216"/>
      <c r="G18" s="213"/>
      <c r="H18" s="245">
        <v>60</v>
      </c>
      <c r="I18" s="245">
        <v>60</v>
      </c>
      <c r="J18" s="216"/>
      <c r="K18" s="213"/>
      <c r="L18" s="245">
        <v>60</v>
      </c>
      <c r="M18" s="245">
        <v>0</v>
      </c>
      <c r="N18" s="216"/>
      <c r="O18" s="213"/>
      <c r="P18" s="245">
        <v>60</v>
      </c>
      <c r="Q18" s="245">
        <v>0</v>
      </c>
      <c r="R18" s="216"/>
      <c r="S18" s="213"/>
      <c r="T18" s="245">
        <v>60</v>
      </c>
      <c r="U18" s="245">
        <v>0</v>
      </c>
      <c r="V18" s="216"/>
      <c r="W18" s="213"/>
      <c r="X18" s="245">
        <v>60</v>
      </c>
      <c r="Y18" s="245">
        <v>0</v>
      </c>
      <c r="Z18" s="216">
        <v>0</v>
      </c>
      <c r="AA18" s="213"/>
      <c r="AB18" s="245">
        <v>60</v>
      </c>
      <c r="AC18" s="245">
        <v>0</v>
      </c>
      <c r="AD18" s="216">
        <f t="shared" si="2"/>
        <v>0</v>
      </c>
      <c r="AE18" s="213"/>
      <c r="AF18" s="245">
        <v>60</v>
      </c>
      <c r="AG18" s="245">
        <v>60</v>
      </c>
      <c r="AH18" s="245">
        <v>0</v>
      </c>
      <c r="AI18" s="216">
        <f t="shared" si="0"/>
        <v>0</v>
      </c>
      <c r="AJ18" s="216"/>
      <c r="AK18" s="398"/>
      <c r="AL18" s="398"/>
      <c r="AM18" s="396">
        <f t="shared" si="3"/>
        <v>-1</v>
      </c>
      <c r="AN18" s="397"/>
      <c r="AO18" s="291"/>
      <c r="AP18" s="399">
        <f t="shared" si="5"/>
        <v>0</v>
      </c>
      <c r="AQ18" s="396"/>
      <c r="AR18" s="288"/>
    </row>
    <row r="19" spans="1:44" s="211" customFormat="1" x14ac:dyDescent="0.25">
      <c r="A19" s="211" t="s">
        <v>343</v>
      </c>
      <c r="B19" s="395" t="str">
        <f t="shared" si="1"/>
        <v>5344</v>
      </c>
      <c r="C19" s="211" t="s">
        <v>1601</v>
      </c>
      <c r="D19" s="245">
        <v>400</v>
      </c>
      <c r="E19" s="245">
        <v>400</v>
      </c>
      <c r="F19" s="216"/>
      <c r="G19" s="213"/>
      <c r="H19" s="245">
        <v>400</v>
      </c>
      <c r="I19" s="245">
        <v>736.56</v>
      </c>
      <c r="J19" s="216"/>
      <c r="K19" s="213"/>
      <c r="L19" s="245">
        <v>400</v>
      </c>
      <c r="M19" s="245">
        <v>90.95</v>
      </c>
      <c r="N19" s="216"/>
      <c r="O19" s="213"/>
      <c r="P19" s="245">
        <v>400</v>
      </c>
      <c r="Q19" s="245">
        <v>122.15</v>
      </c>
      <c r="R19" s="216"/>
      <c r="S19" s="213"/>
      <c r="T19" s="245">
        <v>200</v>
      </c>
      <c r="U19" s="245">
        <v>32.22</v>
      </c>
      <c r="V19" s="216"/>
      <c r="W19" s="213"/>
      <c r="X19" s="245">
        <v>200</v>
      </c>
      <c r="Y19" s="245">
        <v>51.23</v>
      </c>
      <c r="Z19" s="216">
        <v>0</v>
      </c>
      <c r="AA19" s="213"/>
      <c r="AB19" s="245">
        <v>100</v>
      </c>
      <c r="AC19" s="245">
        <v>99.47</v>
      </c>
      <c r="AD19" s="216">
        <f t="shared" si="2"/>
        <v>-0.5</v>
      </c>
      <c r="AE19" s="213"/>
      <c r="AF19" s="245">
        <v>100</v>
      </c>
      <c r="AG19" s="245">
        <v>100</v>
      </c>
      <c r="AH19" s="245">
        <v>66.31</v>
      </c>
      <c r="AI19" s="216">
        <f t="shared" si="0"/>
        <v>0</v>
      </c>
      <c r="AJ19" s="216"/>
      <c r="AK19" s="398">
        <v>100</v>
      </c>
      <c r="AL19" s="398">
        <v>13.75</v>
      </c>
      <c r="AM19" s="396">
        <f t="shared" si="3"/>
        <v>0</v>
      </c>
      <c r="AN19" s="397"/>
      <c r="AO19" s="291">
        <v>100</v>
      </c>
      <c r="AP19" s="399">
        <f t="shared" si="5"/>
        <v>0</v>
      </c>
      <c r="AQ19" s="396">
        <f t="shared" si="4"/>
        <v>0</v>
      </c>
      <c r="AR19" s="288"/>
    </row>
    <row r="20" spans="1:44" s="211" customFormat="1" x14ac:dyDescent="0.25">
      <c r="A20" s="211" t="s">
        <v>344</v>
      </c>
      <c r="B20" s="395" t="str">
        <f t="shared" si="1"/>
        <v>5420</v>
      </c>
      <c r="C20" s="211" t="s">
        <v>1480</v>
      </c>
      <c r="D20" s="245">
        <v>500</v>
      </c>
      <c r="E20" s="245">
        <v>357.74</v>
      </c>
      <c r="F20" s="216"/>
      <c r="G20" s="213"/>
      <c r="H20" s="245">
        <v>400</v>
      </c>
      <c r="I20" s="245">
        <v>87.5</v>
      </c>
      <c r="J20" s="216"/>
      <c r="K20" s="213"/>
      <c r="L20" s="245">
        <v>0</v>
      </c>
      <c r="M20" s="245">
        <v>16.510000000000002</v>
      </c>
      <c r="N20" s="216"/>
      <c r="O20" s="213"/>
      <c r="P20" s="245">
        <v>0</v>
      </c>
      <c r="Q20" s="245">
        <v>149.94999999999999</v>
      </c>
      <c r="R20" s="216"/>
      <c r="S20" s="213"/>
      <c r="T20" s="245">
        <v>20</v>
      </c>
      <c r="U20" s="245">
        <v>249.48</v>
      </c>
      <c r="V20" s="216"/>
      <c r="W20" s="213"/>
      <c r="X20" s="245">
        <v>20</v>
      </c>
      <c r="Y20" s="245">
        <v>146.83000000000001</v>
      </c>
      <c r="Z20" s="216">
        <v>0</v>
      </c>
      <c r="AA20" s="213"/>
      <c r="AB20" s="245">
        <v>100</v>
      </c>
      <c r="AC20" s="245">
        <v>65.680000000000007</v>
      </c>
      <c r="AD20" s="216">
        <f t="shared" si="2"/>
        <v>4</v>
      </c>
      <c r="AE20" s="213"/>
      <c r="AF20" s="245">
        <v>150</v>
      </c>
      <c r="AG20" s="245">
        <v>150</v>
      </c>
      <c r="AH20" s="245">
        <v>490.54</v>
      </c>
      <c r="AI20" s="216">
        <f t="shared" si="0"/>
        <v>0.5</v>
      </c>
      <c r="AJ20" s="216"/>
      <c r="AK20" s="398">
        <v>150</v>
      </c>
      <c r="AL20" s="398">
        <v>52.57</v>
      </c>
      <c r="AM20" s="396">
        <f t="shared" si="3"/>
        <v>0</v>
      </c>
      <c r="AN20" s="397"/>
      <c r="AO20" s="291">
        <v>150</v>
      </c>
      <c r="AP20" s="399">
        <f t="shared" si="5"/>
        <v>0</v>
      </c>
      <c r="AQ20" s="396">
        <f t="shared" si="4"/>
        <v>0</v>
      </c>
      <c r="AR20" s="288"/>
    </row>
    <row r="21" spans="1:44" s="211" customFormat="1" x14ac:dyDescent="0.25">
      <c r="A21" s="211" t="s">
        <v>345</v>
      </c>
      <c r="B21" s="395" t="str">
        <f t="shared" si="1"/>
        <v>5582</v>
      </c>
      <c r="C21" s="211" t="s">
        <v>1615</v>
      </c>
      <c r="D21" s="245">
        <v>175</v>
      </c>
      <c r="E21" s="245">
        <v>115.88</v>
      </c>
      <c r="F21" s="216"/>
      <c r="G21" s="213"/>
      <c r="H21" s="245">
        <v>100</v>
      </c>
      <c r="I21" s="245">
        <v>123.62</v>
      </c>
      <c r="J21" s="216"/>
      <c r="K21" s="213"/>
      <c r="L21" s="245">
        <v>100</v>
      </c>
      <c r="M21" s="245">
        <v>240.97</v>
      </c>
      <c r="N21" s="216"/>
      <c r="O21" s="213"/>
      <c r="P21" s="245">
        <v>180.72</v>
      </c>
      <c r="Q21" s="245">
        <v>224.92</v>
      </c>
      <c r="R21" s="216"/>
      <c r="S21" s="213"/>
      <c r="T21" s="245">
        <v>300</v>
      </c>
      <c r="U21" s="245">
        <v>0</v>
      </c>
      <c r="V21" s="216"/>
      <c r="W21" s="213"/>
      <c r="X21" s="245">
        <v>300</v>
      </c>
      <c r="Y21" s="245">
        <v>51.31</v>
      </c>
      <c r="Z21" s="216">
        <v>0</v>
      </c>
      <c r="AA21" s="213"/>
      <c r="AB21" s="245">
        <v>200</v>
      </c>
      <c r="AC21" s="245">
        <v>54.94</v>
      </c>
      <c r="AD21" s="216">
        <f t="shared" si="2"/>
        <v>-0.33333333333333331</v>
      </c>
      <c r="AE21" s="213"/>
      <c r="AF21" s="245">
        <v>100</v>
      </c>
      <c r="AG21" s="245">
        <v>100</v>
      </c>
      <c r="AH21" s="245">
        <v>36.81</v>
      </c>
      <c r="AI21" s="216">
        <f t="shared" si="0"/>
        <v>-0.5</v>
      </c>
      <c r="AJ21" s="216"/>
      <c r="AK21" s="398">
        <v>100</v>
      </c>
      <c r="AL21" s="398">
        <v>53.9</v>
      </c>
      <c r="AM21" s="396">
        <f t="shared" si="3"/>
        <v>0</v>
      </c>
      <c r="AN21" s="397"/>
      <c r="AO21" s="291">
        <v>100</v>
      </c>
      <c r="AP21" s="399">
        <f t="shared" si="5"/>
        <v>0</v>
      </c>
      <c r="AQ21" s="396">
        <f t="shared" si="4"/>
        <v>0</v>
      </c>
      <c r="AR21" s="288"/>
    </row>
    <row r="22" spans="1:44" s="211" customFormat="1" x14ac:dyDescent="0.25">
      <c r="A22" s="211" t="s">
        <v>346</v>
      </c>
      <c r="B22" s="395" t="str">
        <f t="shared" si="1"/>
        <v>5588</v>
      </c>
      <c r="C22" s="211" t="s">
        <v>1762</v>
      </c>
      <c r="D22" s="245">
        <v>10</v>
      </c>
      <c r="E22" s="245">
        <v>9.83</v>
      </c>
      <c r="F22" s="216"/>
      <c r="G22" s="213"/>
      <c r="H22" s="245">
        <v>10</v>
      </c>
      <c r="I22" s="245">
        <v>17.100000000000001</v>
      </c>
      <c r="J22" s="216"/>
      <c r="K22" s="213"/>
      <c r="L22" s="245">
        <v>10</v>
      </c>
      <c r="M22" s="245">
        <v>24.1</v>
      </c>
      <c r="N22" s="216"/>
      <c r="O22" s="213"/>
      <c r="P22" s="245">
        <v>10</v>
      </c>
      <c r="Q22" s="245">
        <v>16.87</v>
      </c>
      <c r="R22" s="216"/>
      <c r="S22" s="213"/>
      <c r="T22" s="245">
        <v>25</v>
      </c>
      <c r="U22" s="245">
        <v>15</v>
      </c>
      <c r="V22" s="216"/>
      <c r="W22" s="213"/>
      <c r="X22" s="245">
        <v>25</v>
      </c>
      <c r="Y22" s="245">
        <v>7.61</v>
      </c>
      <c r="Z22" s="216">
        <v>0</v>
      </c>
      <c r="AA22" s="213"/>
      <c r="AB22" s="245">
        <v>20</v>
      </c>
      <c r="AC22" s="245">
        <v>10</v>
      </c>
      <c r="AD22" s="216">
        <f t="shared" si="2"/>
        <v>-0.2</v>
      </c>
      <c r="AE22" s="213"/>
      <c r="AF22" s="245">
        <v>10</v>
      </c>
      <c r="AG22" s="245">
        <v>10</v>
      </c>
      <c r="AH22" s="245">
        <v>21.72</v>
      </c>
      <c r="AI22" s="216">
        <f t="shared" si="0"/>
        <v>-0.5</v>
      </c>
      <c r="AJ22" s="216"/>
      <c r="AK22" s="398">
        <v>10</v>
      </c>
      <c r="AL22" s="398">
        <v>0</v>
      </c>
      <c r="AM22" s="396">
        <f t="shared" si="3"/>
        <v>0</v>
      </c>
      <c r="AN22" s="397"/>
      <c r="AO22" s="291">
        <v>10</v>
      </c>
      <c r="AP22" s="399">
        <f t="shared" si="5"/>
        <v>0</v>
      </c>
      <c r="AQ22" s="396">
        <f t="shared" si="4"/>
        <v>0</v>
      </c>
      <c r="AR22" s="288"/>
    </row>
    <row r="23" spans="1:44" s="211" customFormat="1" x14ac:dyDescent="0.25">
      <c r="A23" s="211" t="s">
        <v>347</v>
      </c>
      <c r="B23" s="395" t="str">
        <f t="shared" si="1"/>
        <v>5595</v>
      </c>
      <c r="C23" s="211" t="s">
        <v>1654</v>
      </c>
      <c r="D23" s="245">
        <v>0</v>
      </c>
      <c r="E23" s="245">
        <v>0</v>
      </c>
      <c r="F23" s="216"/>
      <c r="G23" s="213"/>
      <c r="H23" s="245">
        <v>0</v>
      </c>
      <c r="I23" s="245">
        <v>152.5</v>
      </c>
      <c r="J23" s="216"/>
      <c r="K23" s="213"/>
      <c r="L23" s="245">
        <v>465</v>
      </c>
      <c r="M23" s="245">
        <v>282.5</v>
      </c>
      <c r="N23" s="216"/>
      <c r="O23" s="213"/>
      <c r="P23" s="245">
        <v>465</v>
      </c>
      <c r="Q23" s="245">
        <v>325.83999999999997</v>
      </c>
      <c r="R23" s="216"/>
      <c r="S23" s="213"/>
      <c r="T23" s="245">
        <v>465</v>
      </c>
      <c r="U23" s="245">
        <v>193.68</v>
      </c>
      <c r="V23" s="216"/>
      <c r="W23" s="213"/>
      <c r="X23" s="245">
        <v>465</v>
      </c>
      <c r="Y23" s="245">
        <v>288.25</v>
      </c>
      <c r="Z23" s="216">
        <v>0</v>
      </c>
      <c r="AA23" s="213"/>
      <c r="AB23" s="245">
        <v>300</v>
      </c>
      <c r="AC23" s="245">
        <v>308</v>
      </c>
      <c r="AD23" s="216">
        <f t="shared" si="2"/>
        <v>-0.35483870967741937</v>
      </c>
      <c r="AE23" s="213"/>
      <c r="AF23" s="245">
        <v>300</v>
      </c>
      <c r="AG23" s="245">
        <v>300</v>
      </c>
      <c r="AH23" s="245">
        <v>311.5</v>
      </c>
      <c r="AI23" s="216">
        <f t="shared" si="0"/>
        <v>0</v>
      </c>
      <c r="AJ23" s="216"/>
      <c r="AK23" s="398">
        <v>300</v>
      </c>
      <c r="AL23" s="398">
        <v>203.75</v>
      </c>
      <c r="AM23" s="396">
        <f t="shared" si="3"/>
        <v>0</v>
      </c>
      <c r="AN23" s="397"/>
      <c r="AO23" s="291">
        <v>300</v>
      </c>
      <c r="AP23" s="399">
        <f t="shared" si="5"/>
        <v>0</v>
      </c>
      <c r="AQ23" s="396">
        <f t="shared" si="4"/>
        <v>0</v>
      </c>
      <c r="AR23" s="288"/>
    </row>
    <row r="24" spans="1:44" s="211" customFormat="1" x14ac:dyDescent="0.25">
      <c r="A24" s="211" t="s">
        <v>348</v>
      </c>
      <c r="B24" s="395" t="str">
        <f t="shared" si="1"/>
        <v>5710</v>
      </c>
      <c r="C24" s="211" t="s">
        <v>1605</v>
      </c>
      <c r="D24" s="245">
        <v>700</v>
      </c>
      <c r="E24" s="245">
        <v>725.02</v>
      </c>
      <c r="F24" s="216"/>
      <c r="G24" s="213"/>
      <c r="H24" s="245">
        <v>700</v>
      </c>
      <c r="I24" s="245">
        <v>0</v>
      </c>
      <c r="J24" s="216"/>
      <c r="K24" s="213"/>
      <c r="L24" s="245">
        <v>700</v>
      </c>
      <c r="M24" s="245">
        <v>879.2</v>
      </c>
      <c r="N24" s="216"/>
      <c r="O24" s="213"/>
      <c r="P24" s="245">
        <v>880</v>
      </c>
      <c r="Q24" s="245">
        <v>1251.07</v>
      </c>
      <c r="R24" s="216"/>
      <c r="S24" s="213"/>
      <c r="T24" s="245">
        <v>1152</v>
      </c>
      <c r="U24" s="245">
        <v>0</v>
      </c>
      <c r="V24" s="216"/>
      <c r="W24" s="213"/>
      <c r="X24" s="245">
        <v>1152</v>
      </c>
      <c r="Y24" s="245">
        <v>1075.03</v>
      </c>
      <c r="Z24" s="216">
        <v>0</v>
      </c>
      <c r="AA24" s="213"/>
      <c r="AB24" s="245">
        <v>1152</v>
      </c>
      <c r="AC24" s="245">
        <v>1241.8900000000001</v>
      </c>
      <c r="AD24" s="216">
        <f t="shared" si="2"/>
        <v>0</v>
      </c>
      <c r="AE24" s="213"/>
      <c r="AF24" s="245">
        <v>1300</v>
      </c>
      <c r="AG24" s="245">
        <v>1300</v>
      </c>
      <c r="AH24" s="245">
        <v>1187.22</v>
      </c>
      <c r="AI24" s="216">
        <f t="shared" si="0"/>
        <v>0.12847222222222221</v>
      </c>
      <c r="AJ24" s="216"/>
      <c r="AK24" s="398">
        <v>1400</v>
      </c>
      <c r="AL24" s="398">
        <v>0</v>
      </c>
      <c r="AM24" s="396">
        <f t="shared" si="3"/>
        <v>7.6923076923076927E-2</v>
      </c>
      <c r="AN24" s="397"/>
      <c r="AO24" s="291">
        <v>1400</v>
      </c>
      <c r="AP24" s="399">
        <f t="shared" si="5"/>
        <v>0</v>
      </c>
      <c r="AQ24" s="396">
        <f t="shared" si="4"/>
        <v>0</v>
      </c>
      <c r="AR24" s="288"/>
    </row>
    <row r="25" spans="1:44" s="211" customFormat="1" x14ac:dyDescent="0.25">
      <c r="A25" s="211" t="s">
        <v>349</v>
      </c>
      <c r="B25" s="395" t="str">
        <f t="shared" si="1"/>
        <v>5711</v>
      </c>
      <c r="C25" s="211" t="s">
        <v>1606</v>
      </c>
      <c r="D25" s="245">
        <v>350</v>
      </c>
      <c r="E25" s="245">
        <v>301</v>
      </c>
      <c r="F25" s="216"/>
      <c r="G25" s="213"/>
      <c r="H25" s="245">
        <v>350</v>
      </c>
      <c r="I25" s="245">
        <v>228.1</v>
      </c>
      <c r="J25" s="216"/>
      <c r="K25" s="213"/>
      <c r="L25" s="245">
        <v>350</v>
      </c>
      <c r="M25" s="245">
        <v>369.62</v>
      </c>
      <c r="N25" s="216"/>
      <c r="O25" s="213"/>
      <c r="P25" s="245">
        <v>450</v>
      </c>
      <c r="Q25" s="245">
        <v>287.27999999999997</v>
      </c>
      <c r="R25" s="216"/>
      <c r="S25" s="213"/>
      <c r="T25" s="245">
        <v>450</v>
      </c>
      <c r="U25" s="245">
        <v>450</v>
      </c>
      <c r="V25" s="216"/>
      <c r="W25" s="213"/>
      <c r="X25" s="245">
        <v>450</v>
      </c>
      <c r="Y25" s="245">
        <v>551.77</v>
      </c>
      <c r="Z25" s="216">
        <v>0</v>
      </c>
      <c r="AA25" s="213"/>
      <c r="AB25" s="245">
        <v>450</v>
      </c>
      <c r="AC25" s="245">
        <v>450</v>
      </c>
      <c r="AD25" s="216">
        <f t="shared" si="2"/>
        <v>0</v>
      </c>
      <c r="AE25" s="213"/>
      <c r="AF25" s="245">
        <v>500</v>
      </c>
      <c r="AG25" s="245">
        <v>500</v>
      </c>
      <c r="AH25" s="245">
        <v>489.96</v>
      </c>
      <c r="AI25" s="216">
        <f t="shared" si="0"/>
        <v>0.1111111111111111</v>
      </c>
      <c r="AJ25" s="216"/>
      <c r="AK25" s="398">
        <v>500</v>
      </c>
      <c r="AL25" s="398">
        <v>436.55</v>
      </c>
      <c r="AM25" s="396">
        <f t="shared" si="3"/>
        <v>0</v>
      </c>
      <c r="AN25" s="397"/>
      <c r="AO25" s="291">
        <v>500</v>
      </c>
      <c r="AP25" s="399">
        <f t="shared" si="5"/>
        <v>0</v>
      </c>
      <c r="AQ25" s="396">
        <f t="shared" si="4"/>
        <v>0</v>
      </c>
      <c r="AR25" s="288"/>
    </row>
    <row r="26" spans="1:44" s="211" customFormat="1" x14ac:dyDescent="0.25">
      <c r="A26" s="211" t="s">
        <v>350</v>
      </c>
      <c r="B26" s="395" t="str">
        <f t="shared" si="1"/>
        <v>5730</v>
      </c>
      <c r="C26" s="211" t="s">
        <v>1594</v>
      </c>
      <c r="D26" s="245">
        <v>200</v>
      </c>
      <c r="E26" s="245">
        <v>155</v>
      </c>
      <c r="F26" s="216"/>
      <c r="G26" s="213"/>
      <c r="H26" s="245">
        <v>135</v>
      </c>
      <c r="I26" s="245">
        <v>115</v>
      </c>
      <c r="J26" s="216"/>
      <c r="K26" s="213"/>
      <c r="L26" s="245">
        <v>95</v>
      </c>
      <c r="M26" s="245">
        <v>115</v>
      </c>
      <c r="N26" s="216"/>
      <c r="O26" s="213"/>
      <c r="P26" s="245">
        <v>95</v>
      </c>
      <c r="Q26" s="245">
        <v>220</v>
      </c>
      <c r="R26" s="216"/>
      <c r="S26" s="213"/>
      <c r="T26" s="245">
        <v>200</v>
      </c>
      <c r="U26" s="245">
        <v>200</v>
      </c>
      <c r="V26" s="216"/>
      <c r="W26" s="213"/>
      <c r="X26" s="245">
        <v>200</v>
      </c>
      <c r="Y26" s="245">
        <v>200</v>
      </c>
      <c r="Z26" s="216">
        <v>0</v>
      </c>
      <c r="AA26" s="213"/>
      <c r="AB26" s="245">
        <v>200</v>
      </c>
      <c r="AC26" s="245">
        <v>200</v>
      </c>
      <c r="AD26" s="216">
        <f t="shared" si="2"/>
        <v>0</v>
      </c>
      <c r="AE26" s="213"/>
      <c r="AF26" s="245">
        <v>200</v>
      </c>
      <c r="AG26" s="245">
        <v>200</v>
      </c>
      <c r="AH26" s="245">
        <v>200</v>
      </c>
      <c r="AI26" s="216">
        <f t="shared" si="0"/>
        <v>0</v>
      </c>
      <c r="AJ26" s="216"/>
      <c r="AK26" s="398">
        <v>200</v>
      </c>
      <c r="AL26" s="398">
        <v>200</v>
      </c>
      <c r="AM26" s="396">
        <f t="shared" si="3"/>
        <v>0</v>
      </c>
      <c r="AN26" s="397"/>
      <c r="AO26" s="291">
        <v>200</v>
      </c>
      <c r="AP26" s="399">
        <f t="shared" si="5"/>
        <v>0</v>
      </c>
      <c r="AQ26" s="396">
        <f t="shared" si="4"/>
        <v>0</v>
      </c>
      <c r="AR26" s="288"/>
    </row>
    <row r="27" spans="1:44" hidden="1" x14ac:dyDescent="0.25">
      <c r="A27" s="119" t="s">
        <v>351</v>
      </c>
      <c r="B27" s="119">
        <v>5870</v>
      </c>
      <c r="C27" s="161" t="s">
        <v>1675</v>
      </c>
      <c r="D27" s="245">
        <v>0</v>
      </c>
      <c r="E27" s="245">
        <v>0</v>
      </c>
      <c r="F27" s="216"/>
      <c r="H27" s="245">
        <v>0</v>
      </c>
      <c r="I27" s="245">
        <v>0</v>
      </c>
      <c r="J27" s="216"/>
      <c r="L27" s="245">
        <v>0</v>
      </c>
      <c r="M27" s="245">
        <v>0</v>
      </c>
      <c r="N27" s="216"/>
      <c r="P27" s="245">
        <v>0</v>
      </c>
      <c r="Q27" s="245">
        <v>0</v>
      </c>
      <c r="R27" s="216"/>
      <c r="T27" s="245">
        <v>0</v>
      </c>
      <c r="U27" s="245">
        <v>0</v>
      </c>
      <c r="V27" s="216"/>
      <c r="W27" s="213"/>
      <c r="X27" s="245">
        <v>0</v>
      </c>
      <c r="Y27" s="245">
        <v>0</v>
      </c>
      <c r="Z27" s="216" t="e">
        <v>#DIV/0!</v>
      </c>
      <c r="AA27" s="213"/>
      <c r="AB27" s="245">
        <v>0</v>
      </c>
      <c r="AC27" s="245">
        <v>0</v>
      </c>
      <c r="AD27" s="216" t="e">
        <f t="shared" si="2"/>
        <v>#DIV/0!</v>
      </c>
      <c r="AF27" s="245">
        <v>0</v>
      </c>
      <c r="AG27" s="245">
        <v>0</v>
      </c>
      <c r="AH27" s="245"/>
      <c r="AI27" s="216" t="e">
        <f t="shared" si="0"/>
        <v>#DIV/0!</v>
      </c>
      <c r="AJ27" s="80"/>
      <c r="AK27" s="398">
        <v>0</v>
      </c>
      <c r="AL27" s="398">
        <v>0</v>
      </c>
      <c r="AM27" s="396" t="e">
        <f t="shared" si="3"/>
        <v>#DIV/0!</v>
      </c>
      <c r="AO27" s="164">
        <v>0</v>
      </c>
      <c r="AP27" s="212">
        <f>AO27-AG27</f>
        <v>0</v>
      </c>
      <c r="AQ27" s="396" t="e">
        <f t="shared" si="4"/>
        <v>#DIV/0!</v>
      </c>
      <c r="AR27" s="166"/>
    </row>
    <row r="28" spans="1:44" s="114" customFormat="1" x14ac:dyDescent="0.25">
      <c r="A28" s="219"/>
      <c r="B28" s="219"/>
      <c r="C28" s="219" t="s">
        <v>279</v>
      </c>
      <c r="D28" s="220">
        <f>SUM(D13:D27)</f>
        <v>13725</v>
      </c>
      <c r="E28" s="220">
        <f>SUM(E13:E27)</f>
        <v>13354.039999999999</v>
      </c>
      <c r="F28" s="221">
        <v>4.6199999999999998E-2</v>
      </c>
      <c r="G28" s="219"/>
      <c r="H28" s="220">
        <f>SUM(H13:H27)</f>
        <v>14005</v>
      </c>
      <c r="I28" s="220">
        <f>SUM(I13:I27)</f>
        <v>11957.28</v>
      </c>
      <c r="J28" s="221">
        <v>4.6199999999999998E-2</v>
      </c>
      <c r="K28" s="219"/>
      <c r="L28" s="220">
        <f>SUM(L13:L27)</f>
        <v>14664</v>
      </c>
      <c r="M28" s="220">
        <f>SUM(M13:M27)</f>
        <v>14332.250000000002</v>
      </c>
      <c r="N28" s="221">
        <v>4.6199999999999998E-2</v>
      </c>
      <c r="O28" s="219"/>
      <c r="P28" s="220">
        <f>SUM(P13:P27)</f>
        <v>15024.72</v>
      </c>
      <c r="Q28" s="220">
        <f>SUM(Q13:Q27)</f>
        <v>14885.330000000002</v>
      </c>
      <c r="R28" s="221">
        <v>4.6199999999999998E-2</v>
      </c>
      <c r="S28" s="219"/>
      <c r="T28" s="220">
        <f>SUM(T13:T27)</f>
        <v>18616.5</v>
      </c>
      <c r="U28" s="220">
        <f>SUM(U13:U27)</f>
        <v>11767.71</v>
      </c>
      <c r="V28" s="221">
        <v>4.6199999999999998E-2</v>
      </c>
      <c r="W28" s="219"/>
      <c r="X28" s="220">
        <f>SUM(X13:X27)</f>
        <v>21567.5</v>
      </c>
      <c r="Y28" s="220">
        <f>SUM(Y13:Y27)</f>
        <v>21125.230000000003</v>
      </c>
      <c r="Z28" s="222">
        <f>(X28-T28)/T28</f>
        <v>0.15851529557113314</v>
      </c>
      <c r="AA28" s="219"/>
      <c r="AB28" s="220">
        <f>SUM(AB13:AB27)</f>
        <v>25166.5</v>
      </c>
      <c r="AC28" s="220">
        <f>SUM(AC13:AC27)</f>
        <v>26104.329999999998</v>
      </c>
      <c r="AD28" s="221">
        <f>(AB28-X28)/X28</f>
        <v>0.16687145009852788</v>
      </c>
      <c r="AE28" s="219"/>
      <c r="AF28" s="220">
        <f>SUM(AF13:AF27)</f>
        <v>26780</v>
      </c>
      <c r="AG28" s="220">
        <f>SUM(AG13:AG27)</f>
        <v>26780</v>
      </c>
      <c r="AH28" s="220">
        <f>SUM(AH13:AH27)</f>
        <v>24272.050000000007</v>
      </c>
      <c r="AI28" s="221">
        <f t="shared" si="0"/>
        <v>6.4113007370909747E-2</v>
      </c>
      <c r="AJ28" s="221"/>
      <c r="AK28" s="401">
        <f>SUM(AK13:AK27)</f>
        <v>27320</v>
      </c>
      <c r="AL28" s="401">
        <f>SUM(AL13:AL27)</f>
        <v>12089.689999999999</v>
      </c>
      <c r="AM28" s="221">
        <f>(AK28-AG28)/AG28</f>
        <v>2.0164301717699777E-2</v>
      </c>
      <c r="AN28" s="219"/>
      <c r="AO28" s="220">
        <f>SUM(AO13:AO27)</f>
        <v>27903</v>
      </c>
      <c r="AP28" s="401">
        <f>SUM(AP13:AP27)</f>
        <v>583</v>
      </c>
      <c r="AQ28" s="221">
        <f>(AO28-AK28)/AK28</f>
        <v>2.1339677891654467E-2</v>
      </c>
      <c r="AR28" s="219"/>
    </row>
    <row r="29" spans="1:44" s="211" customFormat="1" x14ac:dyDescent="0.25">
      <c r="D29" s="112"/>
      <c r="E29" s="112"/>
      <c r="F29" s="216"/>
      <c r="G29" s="213"/>
      <c r="H29" s="112"/>
      <c r="I29" s="112"/>
      <c r="J29" s="216"/>
      <c r="K29" s="213"/>
      <c r="L29" s="112"/>
      <c r="M29" s="112"/>
      <c r="N29" s="216"/>
      <c r="O29" s="213"/>
      <c r="P29" s="112"/>
      <c r="Q29" s="112"/>
      <c r="R29" s="216"/>
      <c r="S29" s="213"/>
      <c r="T29" s="112"/>
      <c r="U29" s="112"/>
      <c r="V29" s="216"/>
      <c r="W29" s="213"/>
      <c r="X29" s="112"/>
      <c r="Y29" s="112"/>
      <c r="Z29" s="216"/>
      <c r="AA29" s="213"/>
      <c r="AB29" s="112"/>
      <c r="AC29" s="112"/>
      <c r="AD29" s="216"/>
      <c r="AE29" s="213"/>
      <c r="AF29" s="112"/>
      <c r="AG29" s="112"/>
      <c r="AH29" s="112"/>
      <c r="AI29" s="216"/>
      <c r="AJ29" s="216"/>
      <c r="AK29" s="112"/>
      <c r="AL29" s="112"/>
      <c r="AM29" s="396"/>
      <c r="AN29" s="397"/>
      <c r="AO29" s="112"/>
      <c r="AP29" s="112"/>
      <c r="AQ29" s="396"/>
    </row>
    <row r="30" spans="1:44" s="114" customFormat="1" ht="12.75" x14ac:dyDescent="0.2">
      <c r="A30" s="228"/>
      <c r="B30" s="228"/>
      <c r="C30" s="233" t="s">
        <v>280</v>
      </c>
      <c r="D30" s="230">
        <f>D10+D28</f>
        <v>79279</v>
      </c>
      <c r="E30" s="230">
        <f>E10+E28</f>
        <v>78271.02</v>
      </c>
      <c r="F30" s="231">
        <v>6.0299999999999999E-2</v>
      </c>
      <c r="G30" s="228"/>
      <c r="H30" s="230">
        <f>H10+H28</f>
        <v>83557</v>
      </c>
      <c r="I30" s="230">
        <f>I10+I28</f>
        <v>80517.17</v>
      </c>
      <c r="J30" s="231">
        <v>6.0299999999999999E-2</v>
      </c>
      <c r="K30" s="228"/>
      <c r="L30" s="230">
        <f>L10+L28</f>
        <v>88703.659999999989</v>
      </c>
      <c r="M30" s="230">
        <f>M10+M28</f>
        <v>87613.88</v>
      </c>
      <c r="N30" s="231">
        <v>6.0299999999999999E-2</v>
      </c>
      <c r="O30" s="228"/>
      <c r="P30" s="230">
        <f>P10+P28</f>
        <v>96712.67</v>
      </c>
      <c r="Q30" s="230">
        <f>Q10+Q28</f>
        <v>94998.58</v>
      </c>
      <c r="R30" s="231">
        <v>6.0299999999999999E-2</v>
      </c>
      <c r="S30" s="228"/>
      <c r="T30" s="230">
        <f>T10+T28</f>
        <v>101472.89</v>
      </c>
      <c r="U30" s="230">
        <f>U10+U28</f>
        <v>94624.139999999985</v>
      </c>
      <c r="V30" s="231">
        <v>6.0299999999999999E-2</v>
      </c>
      <c r="W30" s="228"/>
      <c r="X30" s="230">
        <f>X10+X28</f>
        <v>105778.15</v>
      </c>
      <c r="Y30" s="230">
        <f>Y10+Y28</f>
        <v>105496.28</v>
      </c>
      <c r="Z30" s="231">
        <f>(X30-T30)/T30</f>
        <v>4.2427686843254341E-2</v>
      </c>
      <c r="AA30" s="228"/>
      <c r="AB30" s="230">
        <f>AB10+AB28</f>
        <v>111398.77</v>
      </c>
      <c r="AC30" s="230">
        <f>AC10+AC28</f>
        <v>110533.65</v>
      </c>
      <c r="AD30" s="231">
        <f>(AB30-X30)/X30</f>
        <v>5.313592646496474E-2</v>
      </c>
      <c r="AE30" s="228"/>
      <c r="AF30" s="230">
        <f>AF10+AF28</f>
        <v>112365.21</v>
      </c>
      <c r="AG30" s="382">
        <f>AG10+AG28</f>
        <v>121081.24000000002</v>
      </c>
      <c r="AH30" s="230">
        <f>AH10+AH28</f>
        <v>118572.88000000002</v>
      </c>
      <c r="AI30" s="231">
        <f t="shared" si="0"/>
        <v>8.6917207434157623E-2</v>
      </c>
      <c r="AJ30" s="231"/>
      <c r="AK30" s="402">
        <f>AK10+AK28</f>
        <v>127887.26</v>
      </c>
      <c r="AL30" s="402">
        <f>AL10+AL28</f>
        <v>61685.83</v>
      </c>
      <c r="AM30" s="231">
        <f>(AK30-AG30)/AG30</f>
        <v>5.6210359259617544E-2</v>
      </c>
      <c r="AN30" s="228"/>
      <c r="AO30" s="230">
        <f>AO10+AO28</f>
        <v>134197.61188000001</v>
      </c>
      <c r="AP30" s="402">
        <f>AP10+AP28</f>
        <v>6310.3418800000109</v>
      </c>
      <c r="AQ30" s="231">
        <f>(AO30-AK30)/AK30</f>
        <v>4.9343084526167945E-2</v>
      </c>
      <c r="AR30" s="233"/>
    </row>
    <row r="31" spans="1:44" x14ac:dyDescent="0.25">
      <c r="D31" s="120"/>
      <c r="F31" s="216"/>
      <c r="H31" s="120"/>
      <c r="J31" s="216"/>
      <c r="L31" s="120"/>
      <c r="N31" s="216"/>
      <c r="P31" s="120"/>
      <c r="R31" s="216"/>
      <c r="T31" s="120"/>
      <c r="V31" s="80"/>
      <c r="X31" s="120"/>
      <c r="AB31" s="120"/>
      <c r="AF31" s="120"/>
      <c r="AG31" s="120"/>
      <c r="AK31" s="403"/>
    </row>
    <row r="32" spans="1:44" s="111" customFormat="1" ht="14.25" thickBot="1" x14ac:dyDescent="0.3">
      <c r="C32" s="111" t="s">
        <v>281</v>
      </c>
      <c r="D32" s="122"/>
      <c r="E32" s="121">
        <f>D30-E30</f>
        <v>1007.9799999999959</v>
      </c>
      <c r="F32" s="216"/>
      <c r="G32" s="118"/>
      <c r="H32" s="122"/>
      <c r="I32" s="121">
        <f>H30-I30</f>
        <v>3039.8300000000017</v>
      </c>
      <c r="J32" s="216"/>
      <c r="K32" s="118"/>
      <c r="L32" s="122"/>
      <c r="M32" s="121">
        <f>L30-M30</f>
        <v>1089.7799999999843</v>
      </c>
      <c r="N32" s="216"/>
      <c r="O32" s="118"/>
      <c r="P32" s="122"/>
      <c r="Q32" s="121">
        <f>P30-Q30</f>
        <v>1714.0899999999965</v>
      </c>
      <c r="R32" s="216"/>
      <c r="S32" s="118"/>
      <c r="T32" s="122"/>
      <c r="U32" s="121">
        <f>T30-U30</f>
        <v>6848.7500000000146</v>
      </c>
      <c r="V32" s="80"/>
      <c r="W32" s="118"/>
      <c r="X32" s="122"/>
      <c r="Y32" s="121">
        <f>X30-Y30</f>
        <v>281.86999999999534</v>
      </c>
      <c r="AA32" s="118"/>
      <c r="AB32" s="122"/>
      <c r="AC32" s="121">
        <f>AB30-AC30</f>
        <v>865.1200000000099</v>
      </c>
      <c r="AE32" s="118"/>
      <c r="AF32" s="122"/>
      <c r="AG32" s="122"/>
      <c r="AH32" s="121">
        <f>AG30-AH30</f>
        <v>2508.3600000000006</v>
      </c>
      <c r="AK32" s="122"/>
      <c r="AL32" s="121">
        <f>AK30-AL30</f>
        <v>66201.429999999993</v>
      </c>
      <c r="AN32" s="118"/>
      <c r="AO32" s="240" t="s">
        <v>1195</v>
      </c>
      <c r="AP32" s="241"/>
      <c r="AQ32" s="242"/>
    </row>
    <row r="33" spans="1:44" ht="14.25" thickTop="1" x14ac:dyDescent="0.25">
      <c r="D33" s="120"/>
      <c r="F33" s="216"/>
      <c r="H33" s="120"/>
      <c r="J33" s="216"/>
      <c r="L33" s="120"/>
      <c r="N33" s="216"/>
      <c r="P33" s="120"/>
      <c r="R33" s="216"/>
      <c r="T33" s="120"/>
      <c r="V33" s="80"/>
      <c r="X33" s="120"/>
      <c r="AB33" s="120"/>
      <c r="AF33" s="120"/>
      <c r="AG33" s="120"/>
      <c r="AK33" s="403"/>
      <c r="AO33" s="243" t="s">
        <v>313</v>
      </c>
      <c r="AP33" s="5"/>
      <c r="AQ33" s="299">
        <f>AO10*0.0145</f>
        <v>1541.2718722600002</v>
      </c>
    </row>
    <row r="34" spans="1:44" x14ac:dyDescent="0.25">
      <c r="A34" s="397"/>
      <c r="B34" s="397"/>
      <c r="C34" s="414"/>
      <c r="D34" s="397"/>
      <c r="E34" s="397"/>
      <c r="F34" s="4"/>
      <c r="G34" s="397"/>
      <c r="H34" s="397"/>
      <c r="I34" s="397"/>
      <c r="J34" s="4"/>
      <c r="K34" s="397"/>
      <c r="L34" s="397"/>
      <c r="M34" s="397"/>
      <c r="N34" s="4"/>
      <c r="O34" s="397"/>
      <c r="P34" s="397"/>
      <c r="Q34" s="397"/>
      <c r="R34" s="4"/>
      <c r="S34" s="397"/>
      <c r="T34" s="397"/>
      <c r="U34" s="397"/>
      <c r="V34" s="4"/>
      <c r="W34" s="397"/>
      <c r="X34" s="397"/>
      <c r="Y34" s="397"/>
      <c r="Z34" s="397"/>
      <c r="AA34" s="397"/>
      <c r="AB34" s="397"/>
      <c r="AC34" s="397"/>
      <c r="AD34" s="397"/>
      <c r="AE34" s="397"/>
      <c r="AF34" s="397"/>
      <c r="AG34" s="397"/>
      <c r="AH34" s="397"/>
      <c r="AI34" s="397"/>
      <c r="AJ34" s="397"/>
      <c r="AK34" s="397"/>
      <c r="AL34" s="397"/>
      <c r="AM34" s="397"/>
      <c r="AO34" s="210" t="s">
        <v>314</v>
      </c>
      <c r="AP34" s="5"/>
      <c r="AQ34" s="299">
        <f>AO10*0.0009</f>
        <v>95.665150692000012</v>
      </c>
      <c r="AR34" s="211"/>
    </row>
    <row r="35" spans="1:44" x14ac:dyDescent="0.25">
      <c r="A35" s="176"/>
      <c r="B35" s="174"/>
      <c r="C35" s="176"/>
      <c r="D35" s="399"/>
      <c r="E35" s="399"/>
      <c r="F35" s="4"/>
      <c r="G35" s="397"/>
      <c r="H35" s="399"/>
      <c r="I35" s="399"/>
      <c r="J35" s="4"/>
      <c r="K35" s="397"/>
      <c r="L35" s="399"/>
      <c r="M35" s="399"/>
      <c r="N35" s="4"/>
      <c r="O35" s="397"/>
      <c r="P35" s="399"/>
      <c r="Q35" s="399"/>
      <c r="R35" s="4"/>
      <c r="S35" s="397"/>
      <c r="T35" s="399"/>
      <c r="U35" s="399"/>
      <c r="V35" s="4"/>
      <c r="W35" s="397"/>
      <c r="X35" s="399"/>
      <c r="Y35" s="399"/>
      <c r="Z35" s="4"/>
      <c r="AA35" s="397"/>
      <c r="AB35" s="399"/>
      <c r="AC35" s="399"/>
      <c r="AD35" s="4"/>
      <c r="AE35" s="397"/>
      <c r="AF35" s="399"/>
      <c r="AG35" s="399"/>
      <c r="AH35" s="399"/>
      <c r="AI35" s="4"/>
      <c r="AJ35" s="4"/>
      <c r="AK35" s="399"/>
      <c r="AL35" s="399"/>
      <c r="AM35" s="4"/>
      <c r="AO35" s="210" t="s">
        <v>315</v>
      </c>
      <c r="AP35" s="5"/>
      <c r="AQ35" s="299">
        <f>AO10*0.003</f>
        <v>318.88383564000003</v>
      </c>
      <c r="AR35" s="211"/>
    </row>
    <row r="36" spans="1:44" x14ac:dyDescent="0.25">
      <c r="A36" s="176"/>
      <c r="B36" s="174"/>
      <c r="C36" s="176"/>
      <c r="D36" s="399"/>
      <c r="E36" s="399"/>
      <c r="F36" s="4"/>
      <c r="G36" s="397"/>
      <c r="H36" s="399"/>
      <c r="I36" s="399"/>
      <c r="J36" s="4"/>
      <c r="K36" s="397"/>
      <c r="L36" s="399"/>
      <c r="M36" s="399"/>
      <c r="N36" s="4"/>
      <c r="O36" s="397"/>
      <c r="P36" s="399"/>
      <c r="Q36" s="399"/>
      <c r="R36" s="4"/>
      <c r="S36" s="397"/>
      <c r="T36" s="399"/>
      <c r="U36" s="399"/>
      <c r="V36" s="4"/>
      <c r="W36" s="397"/>
      <c r="X36" s="399"/>
      <c r="Y36" s="399"/>
      <c r="Z36" s="4"/>
      <c r="AA36" s="397"/>
      <c r="AB36" s="399"/>
      <c r="AC36" s="399"/>
      <c r="AD36" s="4"/>
      <c r="AE36" s="397"/>
      <c r="AF36" s="399"/>
      <c r="AG36" s="399"/>
      <c r="AH36" s="399"/>
      <c r="AI36" s="4"/>
      <c r="AJ36" s="4"/>
      <c r="AK36" s="399"/>
      <c r="AL36" s="399"/>
      <c r="AM36" s="4"/>
      <c r="AO36" s="210" t="s">
        <v>316</v>
      </c>
      <c r="AP36" s="5"/>
      <c r="AQ36" s="299">
        <f>'County Retirement'!G6</f>
        <v>12324.112501311165</v>
      </c>
      <c r="AR36" s="211"/>
    </row>
    <row r="37" spans="1:44" x14ac:dyDescent="0.25">
      <c r="A37" s="414"/>
      <c r="B37" s="397"/>
      <c r="C37" s="118"/>
      <c r="D37" s="415"/>
      <c r="E37" s="415"/>
      <c r="F37" s="4"/>
      <c r="G37" s="118"/>
      <c r="H37" s="415"/>
      <c r="I37" s="415"/>
      <c r="J37" s="4"/>
      <c r="K37" s="118"/>
      <c r="L37" s="415"/>
      <c r="M37" s="415"/>
      <c r="N37" s="4"/>
      <c r="O37" s="118"/>
      <c r="P37" s="415"/>
      <c r="Q37" s="415"/>
      <c r="R37" s="4"/>
      <c r="S37" s="118"/>
      <c r="T37" s="415"/>
      <c r="U37" s="415"/>
      <c r="V37" s="4"/>
      <c r="W37" s="118"/>
      <c r="X37" s="415"/>
      <c r="Y37" s="415"/>
      <c r="Z37" s="4"/>
      <c r="AA37" s="134"/>
      <c r="AB37" s="399"/>
      <c r="AC37" s="399"/>
      <c r="AD37" s="4"/>
      <c r="AE37" s="397"/>
      <c r="AF37" s="399"/>
      <c r="AG37" s="399"/>
      <c r="AH37" s="399"/>
      <c r="AI37" s="4"/>
      <c r="AJ37" s="4"/>
      <c r="AK37" s="399"/>
      <c r="AL37" s="399"/>
      <c r="AM37" s="4"/>
      <c r="AO37" s="210" t="s">
        <v>1190</v>
      </c>
      <c r="AP37" s="5"/>
      <c r="AQ37" s="299">
        <f>'Health Ins'!L19</f>
        <v>25272</v>
      </c>
      <c r="AR37" s="211"/>
    </row>
    <row r="38" spans="1:44" x14ac:dyDescent="0.25">
      <c r="E38" s="245"/>
      <c r="I38" s="245"/>
      <c r="M38" s="245"/>
      <c r="Q38" s="245"/>
      <c r="U38" s="162"/>
      <c r="AO38" s="297" t="s">
        <v>1191</v>
      </c>
      <c r="AP38" s="298"/>
      <c r="AQ38" s="303">
        <f>'Health Ins'!L22</f>
        <v>72810</v>
      </c>
      <c r="AR38" s="211"/>
    </row>
    <row r="39" spans="1:44" x14ac:dyDescent="0.25">
      <c r="AO39" s="235"/>
      <c r="AP39" s="237"/>
      <c r="AQ39" s="301">
        <f>SUM(AQ33:AQ38)</f>
        <v>112361.93335990317</v>
      </c>
      <c r="AR39" s="211"/>
    </row>
    <row r="40" spans="1:44" x14ac:dyDescent="0.25">
      <c r="AR40" s="211"/>
    </row>
    <row r="41" spans="1:44" x14ac:dyDescent="0.25">
      <c r="D41" s="120"/>
      <c r="H41" s="120"/>
      <c r="L41" s="120"/>
      <c r="P41" s="120"/>
      <c r="T41" s="120"/>
      <c r="X41" s="120"/>
      <c r="AB41" s="120"/>
      <c r="AF41" s="120"/>
      <c r="AG41" s="120"/>
      <c r="AK41" s="403"/>
      <c r="AO41" s="408">
        <f>-AO6-AO8</f>
        <v>-5527.4400000000005</v>
      </c>
      <c r="AP41" s="399" t="s">
        <v>1446</v>
      </c>
      <c r="AR41" s="211"/>
    </row>
    <row r="42" spans="1:44" x14ac:dyDescent="0.25">
      <c r="D42" s="120"/>
      <c r="H42" s="120"/>
      <c r="L42" s="120"/>
      <c r="P42" s="120"/>
      <c r="T42" s="120"/>
      <c r="X42" s="120"/>
      <c r="AB42" s="120"/>
      <c r="AF42" s="120"/>
      <c r="AG42" s="120"/>
      <c r="AK42" s="403"/>
      <c r="AR42" s="211"/>
    </row>
    <row r="43" spans="1:44" x14ac:dyDescent="0.25">
      <c r="D43" s="120"/>
      <c r="H43" s="120"/>
      <c r="L43" s="120"/>
      <c r="P43" s="120"/>
      <c r="T43" s="120"/>
      <c r="X43" s="120"/>
      <c r="AB43" s="120"/>
      <c r="AF43" s="120"/>
      <c r="AG43" s="120"/>
      <c r="AK43" s="403"/>
    </row>
    <row r="44" spans="1:44" x14ac:dyDescent="0.25">
      <c r="D44" s="120"/>
      <c r="H44" s="120"/>
      <c r="L44" s="120"/>
      <c r="P44" s="120"/>
      <c r="T44" s="120"/>
      <c r="X44" s="120"/>
      <c r="AB44" s="120"/>
      <c r="AF44" s="120"/>
      <c r="AG44" s="120"/>
      <c r="AK44" s="403"/>
    </row>
    <row r="45" spans="1:44" x14ac:dyDescent="0.25">
      <c r="D45" s="120"/>
      <c r="H45" s="120"/>
      <c r="L45" s="120"/>
      <c r="P45" s="120"/>
      <c r="T45" s="120"/>
      <c r="X45" s="120"/>
      <c r="AB45" s="120"/>
      <c r="AF45" s="120"/>
      <c r="AG45" s="120"/>
      <c r="AK45" s="403"/>
    </row>
    <row r="46" spans="1:44" x14ac:dyDescent="0.25">
      <c r="D46" s="120"/>
      <c r="H46" s="120"/>
      <c r="L46" s="120"/>
      <c r="P46" s="120"/>
      <c r="T46" s="120"/>
      <c r="X46" s="120"/>
      <c r="AB46" s="120"/>
      <c r="AF46" s="120"/>
      <c r="AG46" s="120"/>
      <c r="AK46" s="403"/>
    </row>
    <row r="47" spans="1:44" x14ac:dyDescent="0.25">
      <c r="D47" s="120"/>
      <c r="H47" s="120"/>
      <c r="L47" s="120"/>
      <c r="P47" s="120"/>
      <c r="T47" s="120"/>
      <c r="X47" s="120"/>
      <c r="AB47" s="120"/>
      <c r="AF47" s="120"/>
      <c r="AG47" s="120"/>
      <c r="AK47" s="403"/>
    </row>
    <row r="48" spans="1:44"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403" t="s">
        <v>1511</v>
      </c>
      <c r="E122" s="211">
        <v>30.35</v>
      </c>
      <c r="F122" s="211">
        <v>25</v>
      </c>
      <c r="G122" s="397"/>
      <c r="H122" s="403"/>
      <c r="I122" s="394"/>
      <c r="J122" s="394"/>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0" fitToHeight="2" orientation="landscape" r:id="rId1"/>
  <headerFooter alignWithMargins="0">
    <oddHeader>&amp;C&amp;"-,Bold"Proposed Budget &amp; Analysis Report for FY20</oddHeader>
    <oddFooter>&amp;C&amp;D&amp;T&amp;R&amp;A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3:AR378"/>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40.85546875" style="161" customWidth="1"/>
    <col min="4" max="4" width="11.7109375" style="211" hidden="1" customWidth="1"/>
    <col min="5" max="5" width="11.42578125" style="211" hidden="1" customWidth="1"/>
    <col min="6" max="6" width="8.85546875" style="211" hidden="1" customWidth="1"/>
    <col min="7" max="7" width="1.85546875" style="213" hidden="1" customWidth="1"/>
    <col min="8" max="8" width="11.7109375" style="211" hidden="1" customWidth="1"/>
    <col min="9" max="9" width="11.42578125" style="211" hidden="1" customWidth="1"/>
    <col min="10" max="10" width="8.85546875" style="211" hidden="1" customWidth="1"/>
    <col min="11" max="11" width="1.85546875" style="213" hidden="1" customWidth="1"/>
    <col min="12" max="12" width="11.7109375" style="211" hidden="1" customWidth="1"/>
    <col min="13" max="13" width="11.42578125" style="211" hidden="1" customWidth="1"/>
    <col min="14" max="14" width="8.85546875" style="211" hidden="1" customWidth="1"/>
    <col min="15" max="15" width="1.85546875" style="213" hidden="1" customWidth="1"/>
    <col min="16" max="16" width="11.7109375" style="211" hidden="1" customWidth="1"/>
    <col min="17" max="17" width="11.42578125" style="211" hidden="1" customWidth="1"/>
    <col min="18" max="18" width="8.85546875" style="211" hidden="1" customWidth="1"/>
    <col min="19" max="19" width="1.85546875" style="213" hidden="1" customWidth="1"/>
    <col min="20" max="20" width="11.7109375" style="161" hidden="1" customWidth="1"/>
    <col min="21" max="21" width="11.42578125" style="161" hidden="1" customWidth="1"/>
    <col min="22" max="22" width="8.85546875" style="161" hidden="1" customWidth="1"/>
    <col min="23" max="23" width="1.85546875" style="103" hidden="1" customWidth="1"/>
    <col min="24" max="25" width="11.5703125" style="161" hidden="1" customWidth="1"/>
    <col min="26" max="26" width="8" style="161" hidden="1" customWidth="1"/>
    <col min="27" max="27" width="1.85546875" style="103" hidden="1" customWidth="1"/>
    <col min="28" max="28" width="13" style="161" customWidth="1"/>
    <col min="29" max="29" width="11.5703125" style="161" customWidth="1"/>
    <col min="30" max="30" width="8" style="161" customWidth="1"/>
    <col min="31" max="31" width="3.28515625" style="213" customWidth="1"/>
    <col min="32" max="32" width="11.5703125" style="211" hidden="1" customWidth="1"/>
    <col min="33" max="34" width="11.5703125" style="211" customWidth="1"/>
    <col min="35" max="35" width="8" style="211" customWidth="1"/>
    <col min="36" max="36" width="4.7109375" style="161" customWidth="1"/>
    <col min="37" max="38" width="11.5703125" style="394" customWidth="1"/>
    <col min="39" max="39" width="8.5703125" style="394" bestFit="1" customWidth="1"/>
    <col min="40" max="40" width="4.5703125" style="397" customWidth="1"/>
    <col min="41" max="41" width="12" style="104" bestFit="1" customWidth="1"/>
    <col min="42" max="42" width="13.7109375" style="104" customWidth="1"/>
    <col min="43" max="43" width="12" style="161" customWidth="1"/>
    <col min="44" max="44" width="29.140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1659</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352</v>
      </c>
      <c r="B6" s="119" t="str">
        <f>MID(A6,14,4)</f>
        <v>5106</v>
      </c>
      <c r="C6" s="161" t="s">
        <v>2</v>
      </c>
      <c r="D6" s="245">
        <v>63463</v>
      </c>
      <c r="E6" s="245">
        <v>63463</v>
      </c>
      <c r="F6" s="216"/>
      <c r="H6" s="245">
        <v>65106</v>
      </c>
      <c r="I6" s="245">
        <v>65106</v>
      </c>
      <c r="J6" s="216"/>
      <c r="L6" s="245">
        <v>67063.95</v>
      </c>
      <c r="M6" s="245">
        <v>67063.88</v>
      </c>
      <c r="N6" s="216"/>
      <c r="P6" s="245">
        <v>68669.100000000006</v>
      </c>
      <c r="Q6" s="245">
        <v>68669.119999999995</v>
      </c>
      <c r="R6" s="216"/>
      <c r="T6" s="162">
        <v>69706.58</v>
      </c>
      <c r="U6" s="162">
        <v>69706.94</v>
      </c>
      <c r="V6" s="80"/>
      <c r="X6" s="162">
        <v>75161.25</v>
      </c>
      <c r="Y6" s="162">
        <v>76333.84</v>
      </c>
      <c r="Z6" s="80">
        <v>7.8251866610010101E-2</v>
      </c>
      <c r="AB6" s="162">
        <v>83457.36</v>
      </c>
      <c r="AC6" s="162">
        <v>83457.36</v>
      </c>
      <c r="AD6" s="80">
        <f>(AB6-X6)/X6</f>
        <v>0.11037748839994013</v>
      </c>
      <c r="AF6" s="245">
        <v>87382.8</v>
      </c>
      <c r="AG6" s="372">
        <v>97593.12</v>
      </c>
      <c r="AH6" s="245">
        <v>97593.13</v>
      </c>
      <c r="AI6" s="396">
        <f>(AG6-AB6)/AB6</f>
        <v>0.16937703277458088</v>
      </c>
      <c r="AJ6" s="80"/>
      <c r="AK6" s="398">
        <v>102938.4</v>
      </c>
      <c r="AL6" s="398">
        <v>49300</v>
      </c>
      <c r="AM6" s="396">
        <f>(AK6-AG6)/AG6</f>
        <v>5.4771074026529733E-2</v>
      </c>
      <c r="AO6" s="163">
        <f>'FY20 Payroll Schedule'!J17</f>
        <v>105193.44</v>
      </c>
      <c r="AP6" s="104">
        <f>AO6-AK6</f>
        <v>2255.0400000000081</v>
      </c>
      <c r="AQ6" s="80">
        <f>AP6/AK6</f>
        <v>2.1906693711967625E-2</v>
      </c>
      <c r="AR6" s="400" t="s">
        <v>1670</v>
      </c>
    </row>
    <row r="7" spans="1:44" x14ac:dyDescent="0.25">
      <c r="A7" s="161" t="s">
        <v>353</v>
      </c>
      <c r="B7" s="119" t="str">
        <f>MID(A7,14,4)</f>
        <v>5142</v>
      </c>
      <c r="C7" s="161" t="s">
        <v>1455</v>
      </c>
      <c r="D7" s="245">
        <v>635</v>
      </c>
      <c r="E7" s="245">
        <v>635</v>
      </c>
      <c r="F7" s="216"/>
      <c r="H7" s="245">
        <v>651</v>
      </c>
      <c r="I7" s="245">
        <v>651</v>
      </c>
      <c r="J7" s="216"/>
      <c r="L7" s="245">
        <v>670.64</v>
      </c>
      <c r="M7" s="245">
        <v>670.64</v>
      </c>
      <c r="N7" s="216"/>
      <c r="P7" s="245">
        <v>686.69</v>
      </c>
      <c r="Q7" s="245">
        <v>686.69</v>
      </c>
      <c r="R7" s="216"/>
      <c r="T7" s="245">
        <v>1394.13</v>
      </c>
      <c r="U7" s="245">
        <v>1428.58</v>
      </c>
      <c r="V7" s="216"/>
      <c r="W7" s="213"/>
      <c r="X7" s="245">
        <v>1503.23</v>
      </c>
      <c r="Y7" s="245">
        <v>1503.23</v>
      </c>
      <c r="Z7" s="216">
        <v>7.82566905525309E-2</v>
      </c>
      <c r="AA7" s="213"/>
      <c r="AB7" s="245">
        <v>1669.15</v>
      </c>
      <c r="AC7" s="245">
        <v>1662.7</v>
      </c>
      <c r="AD7" s="216">
        <f>(AB7-X7)/X7</f>
        <v>0.11037565775031104</v>
      </c>
      <c r="AF7" s="245">
        <v>1747.66</v>
      </c>
      <c r="AG7" s="372">
        <v>1952.28</v>
      </c>
      <c r="AH7" s="245">
        <v>1951.86</v>
      </c>
      <c r="AI7" s="396">
        <f>(AG7-AB7)/AB7</f>
        <v>0.169625258365036</v>
      </c>
      <c r="AJ7" s="80"/>
      <c r="AK7" s="398">
        <v>2058.77</v>
      </c>
      <c r="AL7" s="398">
        <v>0</v>
      </c>
      <c r="AM7" s="396">
        <f>(AK7-AG7)/AG7</f>
        <v>5.4546478988669662E-2</v>
      </c>
      <c r="AO7" s="163">
        <f>'FY20 Payroll Schedule'!K17</f>
        <v>3155.8031999999998</v>
      </c>
      <c r="AP7" s="399">
        <f>AO7-AK7</f>
        <v>1097.0331999999999</v>
      </c>
      <c r="AQ7" s="216">
        <f>AP7/AK7</f>
        <v>0.53285855146519512</v>
      </c>
      <c r="AR7" s="400" t="s">
        <v>1772</v>
      </c>
    </row>
    <row r="8" spans="1:44" s="114" customFormat="1" x14ac:dyDescent="0.25">
      <c r="A8" s="224"/>
      <c r="B8" s="224"/>
      <c r="C8" s="224" t="s">
        <v>26</v>
      </c>
      <c r="D8" s="225">
        <v>64098</v>
      </c>
      <c r="E8" s="225">
        <v>64098</v>
      </c>
      <c r="F8" s="226">
        <v>3.0099999999999998E-2</v>
      </c>
      <c r="G8" s="224"/>
      <c r="H8" s="225">
        <v>65757</v>
      </c>
      <c r="I8" s="225">
        <v>65757</v>
      </c>
      <c r="J8" s="226">
        <v>2.5882242815688478E-2</v>
      </c>
      <c r="K8" s="224"/>
      <c r="L8" s="225">
        <v>67734.59</v>
      </c>
      <c r="M8" s="225">
        <v>67734.52</v>
      </c>
      <c r="N8" s="226">
        <v>3.0074212631354784E-2</v>
      </c>
      <c r="O8" s="224"/>
      <c r="P8" s="225">
        <v>69355.790000000008</v>
      </c>
      <c r="Q8" s="225">
        <v>69355.81</v>
      </c>
      <c r="R8" s="226">
        <v>2.39345953079514E-2</v>
      </c>
      <c r="S8" s="224"/>
      <c r="T8" s="225">
        <v>71100.710000000006</v>
      </c>
      <c r="U8" s="225">
        <v>71135.520000000004</v>
      </c>
      <c r="V8" s="226">
        <v>2.515896654050077E-2</v>
      </c>
      <c r="W8" s="224"/>
      <c r="X8" s="225">
        <v>76664.479999999996</v>
      </c>
      <c r="Y8" s="225">
        <v>77837.069999999992</v>
      </c>
      <c r="Z8" s="226">
        <v>7.8251961197011805E-2</v>
      </c>
      <c r="AA8" s="224"/>
      <c r="AB8" s="225">
        <v>85126.51</v>
      </c>
      <c r="AC8" s="225">
        <v>85120.06</v>
      </c>
      <c r="AD8" s="226">
        <f>(AB8-X8)/X8</f>
        <v>0.1103774525047323</v>
      </c>
      <c r="AE8" s="224"/>
      <c r="AF8" s="225">
        <f>SUM(AF6:AF7)</f>
        <v>89130.46</v>
      </c>
      <c r="AG8" s="378">
        <f>SUM(AG6:AG7)</f>
        <v>99545.4</v>
      </c>
      <c r="AH8" s="225">
        <f>SUM(AH6:AH7)</f>
        <v>99544.99</v>
      </c>
      <c r="AI8" s="226">
        <f>(AG8-AB8)/AB8</f>
        <v>0.16938189995102584</v>
      </c>
      <c r="AJ8" s="226"/>
      <c r="AK8" s="225">
        <f>SUM(AK6:AK7)</f>
        <v>104997.17</v>
      </c>
      <c r="AL8" s="225">
        <f>SUM(AL6:AL7)</f>
        <v>49300</v>
      </c>
      <c r="AM8" s="226">
        <f>(AK8-AG8)/AG8</f>
        <v>5.4766669278540285E-2</v>
      </c>
      <c r="AN8" s="224"/>
      <c r="AO8" s="225">
        <f>SUM(AO6:AO7)</f>
        <v>108349.2432</v>
      </c>
      <c r="AP8" s="225">
        <f>SUM(AP6:AP7)</f>
        <v>3352.073200000008</v>
      </c>
      <c r="AQ8" s="226">
        <f>AP8/AK8</f>
        <v>3.1925367131323712E-2</v>
      </c>
      <c r="AR8" s="224"/>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P9" s="212"/>
      <c r="AQ9" s="21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P10" s="212"/>
      <c r="AQ10" s="216"/>
      <c r="AR10" s="111"/>
    </row>
    <row r="11" spans="1:44" s="211" customFormat="1" ht="14.25" x14ac:dyDescent="0.3">
      <c r="A11" s="211" t="s">
        <v>354</v>
      </c>
      <c r="B11" s="214" t="str">
        <f t="shared" ref="B11:B19" si="0">MID(A11,14,4)</f>
        <v>5248</v>
      </c>
      <c r="C11" s="211" t="s">
        <v>1613</v>
      </c>
      <c r="D11" s="245">
        <v>1760</v>
      </c>
      <c r="E11" s="245">
        <v>1760</v>
      </c>
      <c r="F11" s="216"/>
      <c r="G11" s="213"/>
      <c r="H11" s="245">
        <v>1820</v>
      </c>
      <c r="I11" s="245">
        <v>1820</v>
      </c>
      <c r="J11" s="216"/>
      <c r="K11" s="213"/>
      <c r="L11" s="245">
        <v>1316</v>
      </c>
      <c r="M11" s="245">
        <v>1316</v>
      </c>
      <c r="N11" s="216"/>
      <c r="O11" s="213"/>
      <c r="P11" s="245">
        <v>1316</v>
      </c>
      <c r="Q11" s="245">
        <v>1316</v>
      </c>
      <c r="R11" s="216"/>
      <c r="S11" s="213"/>
      <c r="T11" s="245">
        <v>2240.5</v>
      </c>
      <c r="U11" s="245">
        <v>0</v>
      </c>
      <c r="V11" s="216"/>
      <c r="W11" s="213"/>
      <c r="X11" s="245">
        <v>2240.5</v>
      </c>
      <c r="Y11" s="245">
        <v>0</v>
      </c>
      <c r="Z11" s="216">
        <v>0</v>
      </c>
      <c r="AA11" s="213"/>
      <c r="AB11" s="245">
        <v>3200</v>
      </c>
      <c r="AC11" s="245">
        <v>3200</v>
      </c>
      <c r="AD11" s="216">
        <f t="shared" ref="AD11:AD19" si="1">(AB11-X11)/X11</f>
        <v>0.42825262218254856</v>
      </c>
      <c r="AE11" s="213"/>
      <c r="AF11" s="245">
        <v>3296</v>
      </c>
      <c r="AG11" s="372">
        <v>3296</v>
      </c>
      <c r="AH11" s="245">
        <v>3360</v>
      </c>
      <c r="AI11" s="396">
        <f t="shared" ref="AI11:AI18" si="2">(AG11-AB11)/AB11</f>
        <v>0.03</v>
      </c>
      <c r="AJ11" s="216"/>
      <c r="AK11" s="398">
        <v>3200</v>
      </c>
      <c r="AL11" s="398">
        <v>0</v>
      </c>
      <c r="AM11" s="396">
        <f t="shared" ref="AM11:AM19" si="3">(AK11-AG11)/AG11</f>
        <v>-2.9126213592233011E-2</v>
      </c>
      <c r="AN11" s="397"/>
      <c r="AO11" s="163">
        <v>3461</v>
      </c>
      <c r="AP11" s="399">
        <f t="shared" ref="AP11:AP19" si="4">AO11-AK11</f>
        <v>261</v>
      </c>
      <c r="AQ11" s="396">
        <f t="shared" ref="AQ11:AQ19" si="5">AP11/AK11</f>
        <v>8.1562499999999996E-2</v>
      </c>
      <c r="AR11" s="167" t="s">
        <v>1303</v>
      </c>
    </row>
    <row r="12" spans="1:44" ht="14.25" x14ac:dyDescent="0.3">
      <c r="A12" s="161" t="s">
        <v>355</v>
      </c>
      <c r="B12" s="119" t="str">
        <f t="shared" si="0"/>
        <v>5303</v>
      </c>
      <c r="C12" s="161" t="s">
        <v>1495</v>
      </c>
      <c r="D12" s="245">
        <v>300</v>
      </c>
      <c r="E12" s="245">
        <v>175</v>
      </c>
      <c r="F12" s="216"/>
      <c r="H12" s="245">
        <v>300</v>
      </c>
      <c r="I12" s="245">
        <v>45</v>
      </c>
      <c r="J12" s="216"/>
      <c r="L12" s="245">
        <v>300</v>
      </c>
      <c r="M12" s="245">
        <v>300</v>
      </c>
      <c r="N12" s="216"/>
      <c r="P12" s="245">
        <v>300</v>
      </c>
      <c r="Q12" s="245">
        <v>473.63</v>
      </c>
      <c r="R12" s="216"/>
      <c r="T12" s="245">
        <v>300</v>
      </c>
      <c r="U12" s="245">
        <v>20</v>
      </c>
      <c r="V12" s="216"/>
      <c r="W12" s="213"/>
      <c r="X12" s="245">
        <v>300</v>
      </c>
      <c r="Y12" s="245">
        <v>146</v>
      </c>
      <c r="Z12" s="216">
        <v>0</v>
      </c>
      <c r="AA12" s="213"/>
      <c r="AB12" s="245">
        <v>300</v>
      </c>
      <c r="AC12" s="245">
        <v>0</v>
      </c>
      <c r="AD12" s="216">
        <f t="shared" si="1"/>
        <v>0</v>
      </c>
      <c r="AF12" s="245">
        <v>204</v>
      </c>
      <c r="AG12" s="372">
        <v>204</v>
      </c>
      <c r="AH12" s="245">
        <v>0</v>
      </c>
      <c r="AI12" s="396">
        <f t="shared" si="2"/>
        <v>-0.32</v>
      </c>
      <c r="AJ12" s="80"/>
      <c r="AK12" s="398">
        <v>300</v>
      </c>
      <c r="AL12" s="398">
        <v>135</v>
      </c>
      <c r="AM12" s="396">
        <f t="shared" si="3"/>
        <v>0.47058823529411764</v>
      </c>
      <c r="AO12" s="163">
        <v>204</v>
      </c>
      <c r="AP12" s="399">
        <f t="shared" si="4"/>
        <v>-96</v>
      </c>
      <c r="AQ12" s="396">
        <f t="shared" si="5"/>
        <v>-0.32</v>
      </c>
      <c r="AR12" s="167" t="s">
        <v>901</v>
      </c>
    </row>
    <row r="13" spans="1:44" ht="14.25" x14ac:dyDescent="0.3">
      <c r="A13" s="161" t="s">
        <v>356</v>
      </c>
      <c r="B13" s="119" t="str">
        <f t="shared" si="0"/>
        <v>5307</v>
      </c>
      <c r="C13" s="161" t="s">
        <v>1770</v>
      </c>
      <c r="D13" s="245">
        <v>4940</v>
      </c>
      <c r="E13" s="245">
        <v>4587.8</v>
      </c>
      <c r="F13" s="216"/>
      <c r="H13" s="245">
        <v>5930</v>
      </c>
      <c r="I13" s="245">
        <v>4082.28</v>
      </c>
      <c r="J13" s="216"/>
      <c r="L13" s="245">
        <v>5500</v>
      </c>
      <c r="M13" s="245">
        <v>4348.0200000000004</v>
      </c>
      <c r="N13" s="216"/>
      <c r="P13" s="245">
        <v>5500</v>
      </c>
      <c r="Q13" s="245">
        <v>3988.83</v>
      </c>
      <c r="R13" s="216"/>
      <c r="T13" s="245">
        <v>5500</v>
      </c>
      <c r="U13" s="245">
        <v>4171.78</v>
      </c>
      <c r="V13" s="216"/>
      <c r="W13" s="213"/>
      <c r="X13" s="245">
        <v>5500</v>
      </c>
      <c r="Y13" s="245">
        <v>4770.4799999999996</v>
      </c>
      <c r="Z13" s="216">
        <v>0</v>
      </c>
      <c r="AA13" s="213"/>
      <c r="AB13" s="245">
        <v>5500</v>
      </c>
      <c r="AC13" s="245">
        <v>4836.43</v>
      </c>
      <c r="AD13" s="216">
        <f t="shared" si="1"/>
        <v>0</v>
      </c>
      <c r="AF13" s="245">
        <v>5500</v>
      </c>
      <c r="AG13" s="372">
        <v>5500</v>
      </c>
      <c r="AH13" s="245">
        <v>5223.43</v>
      </c>
      <c r="AI13" s="396">
        <f t="shared" si="2"/>
        <v>0</v>
      </c>
      <c r="AJ13" s="80"/>
      <c r="AK13" s="398">
        <v>5500</v>
      </c>
      <c r="AL13" s="398">
        <v>2169.42</v>
      </c>
      <c r="AM13" s="396">
        <f t="shared" si="3"/>
        <v>0</v>
      </c>
      <c r="AO13" s="163">
        <v>5500</v>
      </c>
      <c r="AP13" s="399">
        <f t="shared" si="4"/>
        <v>0</v>
      </c>
      <c r="AQ13" s="396">
        <f t="shared" si="5"/>
        <v>0</v>
      </c>
      <c r="AR13" s="167" t="s">
        <v>1473</v>
      </c>
    </row>
    <row r="14" spans="1:44" ht="14.25" x14ac:dyDescent="0.3">
      <c r="A14" s="161" t="s">
        <v>357</v>
      </c>
      <c r="B14" s="119" t="str">
        <f t="shared" si="0"/>
        <v>5344</v>
      </c>
      <c r="C14" s="161" t="s">
        <v>1601</v>
      </c>
      <c r="D14" s="245">
        <v>1000</v>
      </c>
      <c r="E14" s="245">
        <v>912.17</v>
      </c>
      <c r="F14" s="216"/>
      <c r="H14" s="245">
        <v>1000</v>
      </c>
      <c r="I14" s="245">
        <v>833.64</v>
      </c>
      <c r="J14" s="216"/>
      <c r="L14" s="245">
        <v>1100</v>
      </c>
      <c r="M14" s="245">
        <v>949.6</v>
      </c>
      <c r="N14" s="216"/>
      <c r="P14" s="245">
        <v>1100</v>
      </c>
      <c r="Q14" s="245">
        <v>833.09</v>
      </c>
      <c r="R14" s="216"/>
      <c r="T14" s="245">
        <v>1100</v>
      </c>
      <c r="U14" s="245">
        <v>871.13</v>
      </c>
      <c r="V14" s="216"/>
      <c r="W14" s="213"/>
      <c r="X14" s="245">
        <v>1100</v>
      </c>
      <c r="Y14" s="245">
        <v>807.74</v>
      </c>
      <c r="Z14" s="216">
        <v>0</v>
      </c>
      <c r="AA14" s="213"/>
      <c r="AB14" s="245">
        <v>1100</v>
      </c>
      <c r="AC14" s="245">
        <v>888.38</v>
      </c>
      <c r="AD14" s="216">
        <f t="shared" si="1"/>
        <v>0</v>
      </c>
      <c r="AF14" s="245">
        <v>1100</v>
      </c>
      <c r="AG14" s="372">
        <v>1100</v>
      </c>
      <c r="AH14" s="245">
        <v>856.08</v>
      </c>
      <c r="AI14" s="396">
        <f t="shared" si="2"/>
        <v>0</v>
      </c>
      <c r="AJ14" s="80"/>
      <c r="AK14" s="398">
        <v>1100</v>
      </c>
      <c r="AL14" s="398">
        <v>325.68</v>
      </c>
      <c r="AM14" s="396">
        <f t="shared" si="3"/>
        <v>0</v>
      </c>
      <c r="AO14" s="163">
        <v>1100</v>
      </c>
      <c r="AP14" s="399">
        <f t="shared" si="4"/>
        <v>0</v>
      </c>
      <c r="AQ14" s="396">
        <f t="shared" si="5"/>
        <v>0</v>
      </c>
      <c r="AR14" s="167" t="s">
        <v>902</v>
      </c>
    </row>
    <row r="15" spans="1:44" ht="14.25" x14ac:dyDescent="0.3">
      <c r="A15" s="161" t="s">
        <v>358</v>
      </c>
      <c r="B15" s="119" t="str">
        <f t="shared" si="0"/>
        <v>5382</v>
      </c>
      <c r="C15" s="161" t="s">
        <v>1771</v>
      </c>
      <c r="D15" s="245">
        <v>100</v>
      </c>
      <c r="E15" s="245">
        <v>55</v>
      </c>
      <c r="F15" s="216"/>
      <c r="H15" s="245">
        <v>100</v>
      </c>
      <c r="I15" s="245">
        <v>170</v>
      </c>
      <c r="J15" s="216"/>
      <c r="L15" s="245">
        <v>100</v>
      </c>
      <c r="M15" s="245">
        <v>95</v>
      </c>
      <c r="N15" s="216"/>
      <c r="P15" s="245">
        <v>100</v>
      </c>
      <c r="Q15" s="245">
        <v>-10</v>
      </c>
      <c r="R15" s="216"/>
      <c r="T15" s="245">
        <v>100</v>
      </c>
      <c r="U15" s="245">
        <v>667.3</v>
      </c>
      <c r="V15" s="216"/>
      <c r="W15" s="213"/>
      <c r="X15" s="245">
        <v>100</v>
      </c>
      <c r="Y15" s="245">
        <v>-45</v>
      </c>
      <c r="Z15" s="216">
        <v>0</v>
      </c>
      <c r="AA15" s="213"/>
      <c r="AB15" s="245">
        <v>100</v>
      </c>
      <c r="AC15" s="245">
        <v>-10</v>
      </c>
      <c r="AD15" s="216">
        <f t="shared" si="1"/>
        <v>0</v>
      </c>
      <c r="AF15" s="245">
        <v>100</v>
      </c>
      <c r="AG15" s="372">
        <v>100</v>
      </c>
      <c r="AH15" s="245">
        <v>-40</v>
      </c>
      <c r="AI15" s="396">
        <f t="shared" si="2"/>
        <v>0</v>
      </c>
      <c r="AJ15" s="80"/>
      <c r="AK15" s="398">
        <v>100</v>
      </c>
      <c r="AL15" s="398">
        <v>-65</v>
      </c>
      <c r="AM15" s="396">
        <f t="shared" si="3"/>
        <v>0</v>
      </c>
      <c r="AO15" s="163">
        <v>100</v>
      </c>
      <c r="AP15" s="399">
        <f t="shared" si="4"/>
        <v>0</v>
      </c>
      <c r="AQ15" s="396">
        <f t="shared" si="5"/>
        <v>0</v>
      </c>
      <c r="AR15" s="167" t="s">
        <v>903</v>
      </c>
    </row>
    <row r="16" spans="1:44" ht="14.25" x14ac:dyDescent="0.3">
      <c r="A16" s="161" t="s">
        <v>359</v>
      </c>
      <c r="B16" s="119" t="str">
        <f t="shared" si="0"/>
        <v>5420</v>
      </c>
      <c r="C16" s="161" t="s">
        <v>1480</v>
      </c>
      <c r="D16" s="245">
        <v>350</v>
      </c>
      <c r="E16" s="245">
        <v>388.22</v>
      </c>
      <c r="F16" s="216"/>
      <c r="H16" s="245">
        <v>350</v>
      </c>
      <c r="I16" s="245">
        <v>334.9</v>
      </c>
      <c r="J16" s="216"/>
      <c r="L16" s="245">
        <v>400</v>
      </c>
      <c r="M16" s="245">
        <v>572.16</v>
      </c>
      <c r="N16" s="216"/>
      <c r="P16" s="245">
        <v>400</v>
      </c>
      <c r="Q16" s="245">
        <v>231.1</v>
      </c>
      <c r="R16" s="216"/>
      <c r="T16" s="245">
        <v>400</v>
      </c>
      <c r="U16" s="245">
        <v>383.96</v>
      </c>
      <c r="V16" s="216"/>
      <c r="W16" s="213"/>
      <c r="X16" s="245">
        <v>400</v>
      </c>
      <c r="Y16" s="245">
        <v>399.26</v>
      </c>
      <c r="Z16" s="216">
        <v>0</v>
      </c>
      <c r="AA16" s="213"/>
      <c r="AB16" s="245">
        <v>395</v>
      </c>
      <c r="AC16" s="245">
        <v>389.19</v>
      </c>
      <c r="AD16" s="216">
        <f t="shared" si="1"/>
        <v>-1.2500000000000001E-2</v>
      </c>
      <c r="AF16" s="245">
        <v>395</v>
      </c>
      <c r="AG16" s="372">
        <v>395</v>
      </c>
      <c r="AH16" s="245">
        <v>323.49</v>
      </c>
      <c r="AI16" s="396">
        <f t="shared" si="2"/>
        <v>0</v>
      </c>
      <c r="AJ16" s="80"/>
      <c r="AK16" s="398">
        <v>395</v>
      </c>
      <c r="AL16" s="398">
        <v>0</v>
      </c>
      <c r="AM16" s="396">
        <f t="shared" si="3"/>
        <v>0</v>
      </c>
      <c r="AO16" s="163">
        <v>230</v>
      </c>
      <c r="AP16" s="399">
        <f t="shared" si="4"/>
        <v>-165</v>
      </c>
      <c r="AQ16" s="396">
        <f t="shared" si="5"/>
        <v>-0.41772151898734178</v>
      </c>
      <c r="AR16" s="167" t="s">
        <v>1175</v>
      </c>
    </row>
    <row r="17" spans="1:44" ht="14.25" x14ac:dyDescent="0.3">
      <c r="A17" s="161" t="s">
        <v>360</v>
      </c>
      <c r="B17" s="119" t="str">
        <f t="shared" si="0"/>
        <v>5710</v>
      </c>
      <c r="C17" s="161" t="s">
        <v>1605</v>
      </c>
      <c r="D17" s="245">
        <v>600</v>
      </c>
      <c r="E17" s="245">
        <v>659.16</v>
      </c>
      <c r="F17" s="216"/>
      <c r="H17" s="245">
        <v>600</v>
      </c>
      <c r="I17" s="245">
        <v>766.46</v>
      </c>
      <c r="J17" s="216"/>
      <c r="L17" s="245">
        <v>600</v>
      </c>
      <c r="M17" s="245">
        <v>611.38</v>
      </c>
      <c r="N17" s="216"/>
      <c r="P17" s="245">
        <v>600</v>
      </c>
      <c r="Q17" s="245">
        <v>510.65</v>
      </c>
      <c r="R17" s="216"/>
      <c r="T17" s="245">
        <v>600</v>
      </c>
      <c r="U17" s="245">
        <v>667.09</v>
      </c>
      <c r="V17" s="216"/>
      <c r="W17" s="213"/>
      <c r="X17" s="245">
        <v>600</v>
      </c>
      <c r="Y17" s="245">
        <v>610.95000000000005</v>
      </c>
      <c r="Z17" s="216">
        <v>0</v>
      </c>
      <c r="AA17" s="213"/>
      <c r="AB17" s="245">
        <v>600</v>
      </c>
      <c r="AC17" s="245">
        <v>564.64</v>
      </c>
      <c r="AD17" s="216">
        <f t="shared" si="1"/>
        <v>0</v>
      </c>
      <c r="AF17" s="245">
        <v>600</v>
      </c>
      <c r="AG17" s="372">
        <v>600</v>
      </c>
      <c r="AH17" s="245">
        <v>478.51</v>
      </c>
      <c r="AI17" s="396">
        <f t="shared" si="2"/>
        <v>0</v>
      </c>
      <c r="AJ17" s="80"/>
      <c r="AK17" s="398">
        <v>600</v>
      </c>
      <c r="AL17" s="398">
        <v>683.52</v>
      </c>
      <c r="AM17" s="396">
        <f t="shared" si="3"/>
        <v>0</v>
      </c>
      <c r="AO17" s="163">
        <v>600</v>
      </c>
      <c r="AP17" s="399">
        <f t="shared" si="4"/>
        <v>0</v>
      </c>
      <c r="AQ17" s="396">
        <f t="shared" si="5"/>
        <v>0</v>
      </c>
      <c r="AR17" s="167" t="s">
        <v>904</v>
      </c>
    </row>
    <row r="18" spans="1:44" s="211" customFormat="1" ht="14.25" x14ac:dyDescent="0.3">
      <c r="A18" s="211" t="s">
        <v>361</v>
      </c>
      <c r="B18" s="214" t="str">
        <f t="shared" si="0"/>
        <v>5730</v>
      </c>
      <c r="C18" s="211" t="s">
        <v>1594</v>
      </c>
      <c r="D18" s="245">
        <v>60</v>
      </c>
      <c r="E18" s="245">
        <v>60</v>
      </c>
      <c r="F18" s="216"/>
      <c r="G18" s="213"/>
      <c r="H18" s="245">
        <v>60</v>
      </c>
      <c r="I18" s="245">
        <v>60</v>
      </c>
      <c r="J18" s="216"/>
      <c r="K18" s="213"/>
      <c r="L18" s="245">
        <v>60</v>
      </c>
      <c r="M18" s="245">
        <v>60</v>
      </c>
      <c r="N18" s="216"/>
      <c r="O18" s="213"/>
      <c r="P18" s="245">
        <v>60</v>
      </c>
      <c r="Q18" s="245">
        <v>60</v>
      </c>
      <c r="R18" s="216"/>
      <c r="S18" s="213"/>
      <c r="T18" s="245">
        <v>60</v>
      </c>
      <c r="U18" s="245">
        <v>65</v>
      </c>
      <c r="V18" s="216"/>
      <c r="W18" s="213"/>
      <c r="X18" s="245">
        <v>60</v>
      </c>
      <c r="Y18" s="245">
        <v>65</v>
      </c>
      <c r="Z18" s="216">
        <v>0</v>
      </c>
      <c r="AA18" s="213"/>
      <c r="AB18" s="245">
        <v>65</v>
      </c>
      <c r="AC18" s="245">
        <v>65</v>
      </c>
      <c r="AD18" s="216">
        <f t="shared" si="1"/>
        <v>8.3333333333333329E-2</v>
      </c>
      <c r="AE18" s="213"/>
      <c r="AF18" s="245">
        <v>65</v>
      </c>
      <c r="AG18" s="372">
        <v>65</v>
      </c>
      <c r="AH18" s="245">
        <v>65</v>
      </c>
      <c r="AI18" s="396">
        <f t="shared" si="2"/>
        <v>0</v>
      </c>
      <c r="AJ18" s="216"/>
      <c r="AK18" s="398">
        <v>65</v>
      </c>
      <c r="AL18" s="398">
        <v>65</v>
      </c>
      <c r="AM18" s="396">
        <f t="shared" si="3"/>
        <v>0</v>
      </c>
      <c r="AN18" s="397"/>
      <c r="AO18" s="163">
        <v>65</v>
      </c>
      <c r="AP18" s="399">
        <f t="shared" si="4"/>
        <v>0</v>
      </c>
      <c r="AQ18" s="396">
        <f t="shared" si="5"/>
        <v>0</v>
      </c>
      <c r="AR18" s="167" t="s">
        <v>905</v>
      </c>
    </row>
    <row r="19" spans="1:44" ht="14.25" x14ac:dyDescent="0.3">
      <c r="A19" s="161" t="s">
        <v>362</v>
      </c>
      <c r="B19" s="119" t="str">
        <f t="shared" si="0"/>
        <v>5741</v>
      </c>
      <c r="C19" s="161" t="s">
        <v>1741</v>
      </c>
      <c r="D19" s="245">
        <v>375</v>
      </c>
      <c r="E19" s="245">
        <v>375</v>
      </c>
      <c r="F19" s="216"/>
      <c r="H19" s="245">
        <v>375</v>
      </c>
      <c r="I19" s="245">
        <v>375</v>
      </c>
      <c r="J19" s="216"/>
      <c r="L19" s="245">
        <v>375</v>
      </c>
      <c r="M19" s="245">
        <v>375</v>
      </c>
      <c r="N19" s="216"/>
      <c r="P19" s="245">
        <v>375</v>
      </c>
      <c r="Q19" s="245">
        <v>375</v>
      </c>
      <c r="R19" s="216"/>
      <c r="T19" s="245">
        <v>375</v>
      </c>
      <c r="U19" s="245">
        <v>375</v>
      </c>
      <c r="V19" s="216"/>
      <c r="W19" s="213"/>
      <c r="X19" s="245">
        <v>375</v>
      </c>
      <c r="Y19" s="245">
        <v>375</v>
      </c>
      <c r="Z19" s="216">
        <v>0</v>
      </c>
      <c r="AA19" s="213"/>
      <c r="AB19" s="245">
        <v>375</v>
      </c>
      <c r="AC19" s="245">
        <v>375</v>
      </c>
      <c r="AD19" s="216">
        <f t="shared" si="1"/>
        <v>0</v>
      </c>
      <c r="AF19" s="245">
        <v>375</v>
      </c>
      <c r="AG19" s="372">
        <v>375</v>
      </c>
      <c r="AH19" s="245">
        <v>375</v>
      </c>
      <c r="AI19" s="216">
        <f>(AG19-AB19)/AB19</f>
        <v>0</v>
      </c>
      <c r="AJ19" s="80"/>
      <c r="AK19" s="398">
        <v>375</v>
      </c>
      <c r="AL19" s="398">
        <v>0</v>
      </c>
      <c r="AM19" s="396">
        <f t="shared" si="3"/>
        <v>0</v>
      </c>
      <c r="AO19" s="163">
        <v>375</v>
      </c>
      <c r="AP19" s="399">
        <f t="shared" si="4"/>
        <v>0</v>
      </c>
      <c r="AQ19" s="396">
        <f t="shared" si="5"/>
        <v>0</v>
      </c>
      <c r="AR19" s="167" t="s">
        <v>1103</v>
      </c>
    </row>
    <row r="20" spans="1:44" s="114" customFormat="1" x14ac:dyDescent="0.25">
      <c r="A20" s="219"/>
      <c r="B20" s="219"/>
      <c r="C20" s="219" t="s">
        <v>279</v>
      </c>
      <c r="D20" s="220">
        <f>SUM(D11:D19)</f>
        <v>9485</v>
      </c>
      <c r="E20" s="220">
        <f>SUM(E11:E19)</f>
        <v>8972.35</v>
      </c>
      <c r="F20" s="221">
        <v>-7.4399999999999994E-2</v>
      </c>
      <c r="G20" s="219"/>
      <c r="H20" s="220">
        <f>SUM(H11:H19)</f>
        <v>10535</v>
      </c>
      <c r="I20" s="220">
        <f>SUM(I11:I19)</f>
        <v>8487.2800000000007</v>
      </c>
      <c r="J20" s="221">
        <v>-7.4399999999999994E-2</v>
      </c>
      <c r="K20" s="219"/>
      <c r="L20" s="220">
        <f>SUM(L11:L19)</f>
        <v>9751</v>
      </c>
      <c r="M20" s="220">
        <f>SUM(M11:M19)</f>
        <v>8627.16</v>
      </c>
      <c r="N20" s="221">
        <v>-7.4399999999999994E-2</v>
      </c>
      <c r="O20" s="219"/>
      <c r="P20" s="220">
        <f>SUM(P11:P19)</f>
        <v>9751</v>
      </c>
      <c r="Q20" s="220">
        <f>SUM(Q11:Q19)</f>
        <v>7778.3</v>
      </c>
      <c r="R20" s="221">
        <v>-7.4399999999999994E-2</v>
      </c>
      <c r="S20" s="219"/>
      <c r="T20" s="220">
        <f>SUM(T11:T19)</f>
        <v>10675.5</v>
      </c>
      <c r="U20" s="220">
        <f>SUM(U11:U19)</f>
        <v>7221.26</v>
      </c>
      <c r="V20" s="221">
        <v>-7.4399999999999994E-2</v>
      </c>
      <c r="W20" s="219"/>
      <c r="X20" s="220">
        <f>SUM(X11:X19)</f>
        <v>10675.5</v>
      </c>
      <c r="Y20" s="220">
        <f>SUM(Y11:Y19)</f>
        <v>7129.4299999999994</v>
      </c>
      <c r="Z20" s="222">
        <f>(X20-T20)/T20</f>
        <v>0</v>
      </c>
      <c r="AA20" s="219"/>
      <c r="AB20" s="220">
        <f>SUM(AB11:AB19)</f>
        <v>11635</v>
      </c>
      <c r="AC20" s="220">
        <f>SUM(AC11:AC19)</f>
        <v>10308.64</v>
      </c>
      <c r="AD20" s="221">
        <f>(AB20-X20)/X20</f>
        <v>8.9878694206360354E-2</v>
      </c>
      <c r="AE20" s="219"/>
      <c r="AF20" s="220">
        <f>SUM(AF11:AF19)</f>
        <v>11635</v>
      </c>
      <c r="AG20" s="378">
        <f>SUM(AG11:AG19)</f>
        <v>11635</v>
      </c>
      <c r="AH20" s="220">
        <f>SUM(AH11:AH19)</f>
        <v>10641.51</v>
      </c>
      <c r="AI20" s="221">
        <f>(AG20-AB20)/AB20</f>
        <v>0</v>
      </c>
      <c r="AJ20" s="221"/>
      <c r="AK20" s="401">
        <f>SUM(AK11:AK19)</f>
        <v>11635</v>
      </c>
      <c r="AL20" s="401">
        <f>SUM(AL11:AL19)</f>
        <v>3313.62</v>
      </c>
      <c r="AM20" s="221">
        <f>(AK20-AG20)/AG20</f>
        <v>0</v>
      </c>
      <c r="AN20" s="219"/>
      <c r="AO20" s="220">
        <f>SUM(AO11:AO19)</f>
        <v>11635</v>
      </c>
      <c r="AP20" s="220">
        <f>SUM(AP11:AP19)</f>
        <v>0</v>
      </c>
      <c r="AQ20" s="221">
        <f>AP20/AK20</f>
        <v>0</v>
      </c>
      <c r="AR20" s="219"/>
    </row>
    <row r="21" spans="1:44" s="211" customFormat="1" x14ac:dyDescent="0.25">
      <c r="D21" s="112"/>
      <c r="E21" s="112"/>
      <c r="F21" s="216"/>
      <c r="G21" s="213"/>
      <c r="H21" s="112"/>
      <c r="I21" s="112"/>
      <c r="J21" s="216"/>
      <c r="K21" s="213"/>
      <c r="L21" s="112"/>
      <c r="M21" s="112"/>
      <c r="N21" s="216"/>
      <c r="O21" s="213"/>
      <c r="P21" s="112"/>
      <c r="Q21" s="112"/>
      <c r="R21" s="216"/>
      <c r="S21" s="213"/>
      <c r="T21" s="112"/>
      <c r="U21" s="112"/>
      <c r="V21" s="216"/>
      <c r="W21" s="213"/>
      <c r="X21" s="112"/>
      <c r="Y21" s="112"/>
      <c r="Z21" s="216"/>
      <c r="AA21" s="213"/>
      <c r="AB21" s="112"/>
      <c r="AC21" s="112"/>
      <c r="AD21" s="216"/>
      <c r="AE21" s="213"/>
      <c r="AF21" s="112"/>
      <c r="AG21" s="112"/>
      <c r="AH21" s="112"/>
      <c r="AI21" s="216"/>
      <c r="AJ21" s="216"/>
      <c r="AK21" s="112"/>
      <c r="AL21" s="112"/>
      <c r="AM21" s="396"/>
      <c r="AN21" s="397"/>
      <c r="AO21" s="112"/>
      <c r="AP21" s="112"/>
      <c r="AQ21" s="216"/>
    </row>
    <row r="22" spans="1:44" s="114" customFormat="1" ht="12.75" x14ac:dyDescent="0.2">
      <c r="A22" s="228"/>
      <c r="B22" s="228"/>
      <c r="C22" s="233" t="s">
        <v>280</v>
      </c>
      <c r="D22" s="230">
        <f>D8+D20</f>
        <v>73583</v>
      </c>
      <c r="E22" s="230">
        <f>E8+E20</f>
        <v>73070.350000000006</v>
      </c>
      <c r="F22" s="231">
        <v>1.5599999999999999E-2</v>
      </c>
      <c r="G22" s="228"/>
      <c r="H22" s="230">
        <f>H8+H20</f>
        <v>76292</v>
      </c>
      <c r="I22" s="230">
        <f>I8+I20</f>
        <v>74244.28</v>
      </c>
      <c r="J22" s="231">
        <f>(H22-D22)/D22</f>
        <v>3.681556881344876E-2</v>
      </c>
      <c r="K22" s="228"/>
      <c r="L22" s="230">
        <f>L8+L20</f>
        <v>77485.59</v>
      </c>
      <c r="M22" s="230">
        <f>M8+M20</f>
        <v>76361.680000000008</v>
      </c>
      <c r="N22" s="231">
        <f>(L22-H22)/H22</f>
        <v>1.5645021758506746E-2</v>
      </c>
      <c r="O22" s="228"/>
      <c r="P22" s="230">
        <f>P8+P20</f>
        <v>79106.790000000008</v>
      </c>
      <c r="Q22" s="230">
        <f>Q8+Q20</f>
        <v>77134.11</v>
      </c>
      <c r="R22" s="231">
        <f>(P22-L22)/L22</f>
        <v>2.0922599931161544E-2</v>
      </c>
      <c r="S22" s="228"/>
      <c r="T22" s="230">
        <f>T8+T20</f>
        <v>81776.210000000006</v>
      </c>
      <c r="U22" s="230">
        <f>U8+U20</f>
        <v>78356.78</v>
      </c>
      <c r="V22" s="231">
        <f>(T22-P22)/P22</f>
        <v>3.3744511691095012E-2</v>
      </c>
      <c r="W22" s="228"/>
      <c r="X22" s="230">
        <f>X8+X20</f>
        <v>87339.98</v>
      </c>
      <c r="Y22" s="230">
        <f>Y8+Y20</f>
        <v>84966.499999999985</v>
      </c>
      <c r="Z22" s="231">
        <f>(X22-T22)/T22</f>
        <v>6.8036535319990848E-2</v>
      </c>
      <c r="AA22" s="228"/>
      <c r="AB22" s="230">
        <f>AB8+AB20</f>
        <v>96761.51</v>
      </c>
      <c r="AC22" s="230">
        <f>AC8+AC20</f>
        <v>95428.7</v>
      </c>
      <c r="AD22" s="231">
        <f>(AB22-X22)/X22</f>
        <v>0.10787190471076361</v>
      </c>
      <c r="AE22" s="228"/>
      <c r="AF22" s="230">
        <f>AF8+AF20</f>
        <v>100765.46</v>
      </c>
      <c r="AG22" s="378">
        <f>AG8+AG20</f>
        <v>111180.4</v>
      </c>
      <c r="AH22" s="230">
        <f>AH8+AH20</f>
        <v>110186.5</v>
      </c>
      <c r="AI22" s="231">
        <f>(AG22-AB22)/AB22</f>
        <v>0.14901472703350743</v>
      </c>
      <c r="AJ22" s="231"/>
      <c r="AK22" s="402">
        <f>AK8+AK20</f>
        <v>116632.17</v>
      </c>
      <c r="AL22" s="402">
        <f>AL8+AL20</f>
        <v>52613.62</v>
      </c>
      <c r="AM22" s="231">
        <f>(AK22-AG22)/AG22</f>
        <v>4.9035351554770484E-2</v>
      </c>
      <c r="AN22" s="228"/>
      <c r="AO22" s="230">
        <f>SUM(AO8+AO20)</f>
        <v>119984.2432</v>
      </c>
      <c r="AP22" s="230">
        <f>SUM(AP8+AP20)</f>
        <v>3352.073200000008</v>
      </c>
      <c r="AQ22" s="231">
        <f>AP22/AK22</f>
        <v>2.8740554171289175E-2</v>
      </c>
      <c r="AR22" s="233"/>
    </row>
    <row r="23" spans="1:44" x14ac:dyDescent="0.25">
      <c r="D23" s="120"/>
      <c r="F23" s="216"/>
      <c r="H23" s="120"/>
      <c r="J23" s="216"/>
      <c r="L23" s="120"/>
      <c r="N23" s="216"/>
      <c r="P23" s="120"/>
      <c r="R23" s="216"/>
      <c r="T23" s="120"/>
      <c r="V23" s="80"/>
      <c r="X23" s="120"/>
      <c r="AB23" s="120"/>
      <c r="AF23" s="120"/>
      <c r="AG23" s="120"/>
      <c r="AK23" s="403"/>
    </row>
    <row r="24" spans="1:44" s="111" customFormat="1" ht="14.25" thickBot="1" x14ac:dyDescent="0.3">
      <c r="C24" s="111" t="s">
        <v>281</v>
      </c>
      <c r="D24" s="122"/>
      <c r="E24" s="121">
        <f>D22-E22</f>
        <v>512.64999999999418</v>
      </c>
      <c r="F24" s="216"/>
      <c r="G24" s="118"/>
      <c r="H24" s="122"/>
      <c r="I24" s="121">
        <f>H22-I22</f>
        <v>2047.7200000000012</v>
      </c>
      <c r="J24" s="216"/>
      <c r="K24" s="118"/>
      <c r="L24" s="122"/>
      <c r="M24" s="121">
        <f>L22-M22</f>
        <v>1123.9099999999889</v>
      </c>
      <c r="N24" s="216"/>
      <c r="O24" s="118"/>
      <c r="P24" s="122"/>
      <c r="Q24" s="121">
        <f>P22-Q22</f>
        <v>1972.6800000000076</v>
      </c>
      <c r="R24" s="216"/>
      <c r="S24" s="118"/>
      <c r="T24" s="122"/>
      <c r="U24" s="121">
        <f>T22-U22</f>
        <v>3419.4300000000076</v>
      </c>
      <c r="V24" s="80"/>
      <c r="W24" s="118"/>
      <c r="X24" s="122"/>
      <c r="Y24" s="121">
        <f>X22-Y22</f>
        <v>2373.4800000000105</v>
      </c>
      <c r="AA24" s="118"/>
      <c r="AB24" s="122"/>
      <c r="AC24" s="121">
        <f>AB22-AC22</f>
        <v>1332.8099999999977</v>
      </c>
      <c r="AE24" s="118"/>
      <c r="AF24" s="122"/>
      <c r="AG24" s="122"/>
      <c r="AH24" s="121">
        <f>AG22-AH22</f>
        <v>993.89999999999418</v>
      </c>
      <c r="AK24" s="122"/>
      <c r="AL24" s="121">
        <f>AK22-AL22</f>
        <v>64018.549999999996</v>
      </c>
      <c r="AN24" s="118"/>
      <c r="AO24" s="123"/>
      <c r="AP24" s="123"/>
    </row>
    <row r="25" spans="1:44" s="111" customFormat="1" ht="14.25" thickTop="1" x14ac:dyDescent="0.25">
      <c r="D25" s="122"/>
      <c r="E25" s="152"/>
      <c r="F25" s="216"/>
      <c r="G25" s="118"/>
      <c r="H25" s="122"/>
      <c r="I25" s="152"/>
      <c r="J25" s="216"/>
      <c r="K25" s="118"/>
      <c r="L25" s="122"/>
      <c r="M25" s="152"/>
      <c r="N25" s="216"/>
      <c r="O25" s="118"/>
      <c r="P25" s="122"/>
      <c r="Q25" s="152"/>
      <c r="R25" s="216"/>
      <c r="S25" s="118"/>
      <c r="T25" s="122"/>
      <c r="U25" s="152"/>
      <c r="V25" s="216"/>
      <c r="W25" s="118"/>
      <c r="X25" s="122"/>
      <c r="Y25" s="152"/>
      <c r="AA25" s="118"/>
      <c r="AB25" s="122"/>
      <c r="AC25" s="152"/>
      <c r="AE25" s="118"/>
      <c r="AF25" s="122"/>
      <c r="AG25" s="122"/>
      <c r="AH25" s="152"/>
      <c r="AK25" s="122"/>
      <c r="AL25" s="152"/>
      <c r="AN25" s="118"/>
      <c r="AO25" s="123"/>
      <c r="AP25" s="123"/>
    </row>
    <row r="26" spans="1:44" x14ac:dyDescent="0.25">
      <c r="D26" s="120"/>
      <c r="F26" s="216"/>
      <c r="H26" s="120"/>
      <c r="J26" s="216"/>
      <c r="L26" s="120"/>
      <c r="N26" s="216"/>
      <c r="P26" s="120"/>
      <c r="R26" s="216"/>
      <c r="T26" s="120"/>
      <c r="V26" s="80"/>
      <c r="X26" s="120"/>
      <c r="AB26" s="120"/>
      <c r="AF26" s="120"/>
      <c r="AG26" s="120"/>
      <c r="AK26" s="403"/>
      <c r="AO26" s="240" t="s">
        <v>1195</v>
      </c>
      <c r="AP26" s="241"/>
      <c r="AQ26" s="242"/>
      <c r="AR26" s="211"/>
    </row>
    <row r="27" spans="1:44" x14ac:dyDescent="0.25">
      <c r="F27" s="216"/>
      <c r="J27" s="216"/>
      <c r="N27" s="216"/>
      <c r="R27" s="216"/>
      <c r="V27" s="80"/>
      <c r="AO27" s="243" t="s">
        <v>313</v>
      </c>
      <c r="AP27" s="5"/>
      <c r="AQ27" s="299">
        <f>AO8*0.0145</f>
        <v>1571.0640264000001</v>
      </c>
      <c r="AR27" s="211"/>
    </row>
    <row r="28" spans="1:44" x14ac:dyDescent="0.25">
      <c r="F28" s="216"/>
      <c r="J28" s="216"/>
      <c r="N28" s="216"/>
      <c r="R28" s="216"/>
      <c r="V28" s="80"/>
      <c r="AO28" s="210" t="s">
        <v>314</v>
      </c>
      <c r="AP28" s="5"/>
      <c r="AQ28" s="299">
        <f>AO8*0.0009</f>
        <v>97.51431887999999</v>
      </c>
      <c r="AR28" s="211"/>
    </row>
    <row r="29" spans="1:44" x14ac:dyDescent="0.25">
      <c r="F29" s="216"/>
      <c r="J29" s="216"/>
      <c r="N29" s="216"/>
      <c r="R29" s="216"/>
      <c r="V29" s="80"/>
      <c r="AO29" s="210" t="s">
        <v>315</v>
      </c>
      <c r="AP29" s="5"/>
      <c r="AQ29" s="299">
        <f>AO8*0.003</f>
        <v>325.04772960000003</v>
      </c>
      <c r="AR29" s="211"/>
    </row>
    <row r="30" spans="1:44" x14ac:dyDescent="0.25">
      <c r="F30" s="216"/>
      <c r="J30" s="216"/>
      <c r="N30" s="216"/>
      <c r="R30" s="216"/>
      <c r="V30" s="80"/>
      <c r="AO30" s="210" t="s">
        <v>316</v>
      </c>
      <c r="AP30" s="5"/>
      <c r="AQ30" s="299">
        <f>'County Retirement'!G7</f>
        <v>13251.421447243694</v>
      </c>
      <c r="AR30" s="211"/>
    </row>
    <row r="31" spans="1:44" x14ac:dyDescent="0.25">
      <c r="F31" s="216"/>
      <c r="J31" s="216"/>
      <c r="N31" s="216"/>
      <c r="R31" s="216"/>
      <c r="V31" s="80"/>
      <c r="AO31" s="210" t="s">
        <v>1153</v>
      </c>
      <c r="AP31" s="5"/>
      <c r="AQ31" s="302">
        <f>'Health Ins'!L16</f>
        <v>25272</v>
      </c>
      <c r="AR31" s="211"/>
    </row>
    <row r="32" spans="1:44" x14ac:dyDescent="0.25">
      <c r="F32" s="216"/>
      <c r="J32" s="216"/>
      <c r="N32" s="216"/>
      <c r="R32" s="216"/>
      <c r="V32" s="80"/>
      <c r="AO32" s="235"/>
      <c r="AP32" s="237"/>
      <c r="AQ32" s="301">
        <f>SUM(AQ27:AQ31)</f>
        <v>40517.047522123692</v>
      </c>
      <c r="AR32" s="211"/>
    </row>
    <row r="33" spans="4:44" x14ac:dyDescent="0.25">
      <c r="F33" s="216"/>
      <c r="J33" s="216"/>
      <c r="N33" s="216"/>
      <c r="R33" s="216"/>
      <c r="V33" s="80"/>
      <c r="AR33" s="211"/>
    </row>
    <row r="34" spans="4:44" x14ac:dyDescent="0.25">
      <c r="D34" s="120"/>
      <c r="F34" s="216"/>
      <c r="H34" s="120"/>
      <c r="J34" s="216"/>
      <c r="L34" s="120"/>
      <c r="N34" s="216"/>
      <c r="P34" s="120"/>
      <c r="R34" s="216"/>
      <c r="T34" s="120"/>
      <c r="V34" s="80"/>
      <c r="X34" s="120"/>
      <c r="AB34" s="120"/>
      <c r="AF34" s="120"/>
      <c r="AG34" s="120"/>
      <c r="AK34" s="403"/>
      <c r="AR34" s="211"/>
    </row>
    <row r="35" spans="4:44" x14ac:dyDescent="0.25">
      <c r="D35" s="120"/>
      <c r="F35" s="216"/>
      <c r="H35" s="120"/>
      <c r="J35" s="216"/>
      <c r="L35" s="120"/>
      <c r="N35" s="216"/>
      <c r="P35" s="120"/>
      <c r="R35" s="216"/>
      <c r="T35" s="120"/>
      <c r="V35" s="80"/>
      <c r="X35" s="120"/>
      <c r="AB35" s="120"/>
      <c r="AF35" s="120"/>
      <c r="AG35" s="120"/>
      <c r="AK35" s="403"/>
      <c r="AR35" s="211"/>
    </row>
    <row r="36" spans="4:44" x14ac:dyDescent="0.25">
      <c r="D36" s="120"/>
      <c r="F36" s="216"/>
      <c r="H36" s="120"/>
      <c r="J36" s="216"/>
      <c r="L36" s="120"/>
      <c r="N36" s="216"/>
      <c r="P36" s="120"/>
      <c r="R36" s="216"/>
      <c r="T36" s="120"/>
      <c r="V36" s="80"/>
      <c r="X36" s="120"/>
      <c r="AB36" s="120"/>
      <c r="AF36" s="120"/>
      <c r="AG36" s="120"/>
      <c r="AK36" s="403"/>
    </row>
    <row r="37" spans="4:44" x14ac:dyDescent="0.25">
      <c r="D37" s="120"/>
      <c r="F37" s="216"/>
      <c r="H37" s="120"/>
      <c r="J37" s="216"/>
      <c r="L37" s="120"/>
      <c r="N37" s="216"/>
      <c r="P37" s="120"/>
      <c r="R37" s="216"/>
      <c r="T37" s="120"/>
      <c r="V37" s="80"/>
      <c r="X37" s="120"/>
      <c r="AB37" s="120"/>
      <c r="AF37" s="120"/>
      <c r="AG37" s="120"/>
      <c r="AK37" s="403"/>
    </row>
    <row r="38" spans="4:44" x14ac:dyDescent="0.25">
      <c r="D38" s="120"/>
      <c r="F38" s="216"/>
      <c r="H38" s="120"/>
      <c r="J38" s="216"/>
      <c r="L38" s="120"/>
      <c r="N38" s="216"/>
      <c r="P38" s="120"/>
      <c r="R38" s="216"/>
      <c r="T38" s="120"/>
      <c r="V38" s="80"/>
      <c r="X38" s="120"/>
      <c r="AB38" s="120"/>
      <c r="AF38" s="120"/>
      <c r="AG38" s="120"/>
      <c r="AK38" s="403"/>
    </row>
    <row r="39" spans="4:44" x14ac:dyDescent="0.25">
      <c r="D39" s="120"/>
      <c r="H39" s="120"/>
      <c r="L39" s="120"/>
      <c r="P39" s="120"/>
      <c r="T39" s="120"/>
      <c r="X39" s="120"/>
      <c r="AB39" s="120"/>
      <c r="AF39" s="120"/>
      <c r="AG39" s="120"/>
      <c r="AK39" s="403"/>
    </row>
    <row r="40" spans="4:44" x14ac:dyDescent="0.25">
      <c r="D40" s="120"/>
      <c r="H40" s="120"/>
      <c r="L40" s="120"/>
      <c r="P40" s="120"/>
      <c r="T40" s="120"/>
      <c r="X40" s="120"/>
      <c r="AB40" s="120"/>
      <c r="AF40" s="120"/>
      <c r="AG40" s="120"/>
      <c r="AK40" s="403"/>
    </row>
    <row r="41" spans="4:44" x14ac:dyDescent="0.25">
      <c r="D41" s="120"/>
      <c r="H41" s="120"/>
      <c r="L41" s="120"/>
      <c r="P41" s="120"/>
      <c r="T41" s="120"/>
      <c r="X41" s="120"/>
      <c r="AB41" s="120"/>
      <c r="AF41" s="120"/>
      <c r="AG41" s="120"/>
      <c r="AK41" s="403"/>
    </row>
    <row r="42" spans="4:44" x14ac:dyDescent="0.25">
      <c r="D42" s="120"/>
      <c r="H42" s="120"/>
      <c r="L42" s="120"/>
      <c r="P42" s="120"/>
      <c r="T42" s="120"/>
      <c r="X42" s="120"/>
      <c r="AB42" s="120"/>
      <c r="AF42" s="120"/>
      <c r="AG42" s="120"/>
      <c r="AK42" s="403"/>
    </row>
    <row r="43" spans="4:44" x14ac:dyDescent="0.25">
      <c r="D43" s="120"/>
      <c r="H43" s="120"/>
      <c r="L43" s="120"/>
      <c r="P43" s="120"/>
      <c r="T43" s="120"/>
      <c r="X43" s="120"/>
      <c r="AB43" s="120"/>
      <c r="AF43" s="120"/>
      <c r="AG43" s="120"/>
      <c r="AK43" s="403"/>
    </row>
    <row r="44" spans="4:44" x14ac:dyDescent="0.25">
      <c r="D44" s="120"/>
      <c r="H44" s="120"/>
      <c r="L44" s="120"/>
      <c r="P44" s="120"/>
      <c r="T44" s="120"/>
      <c r="X44" s="120"/>
      <c r="AB44" s="120"/>
      <c r="AF44" s="120"/>
      <c r="AG44" s="120"/>
      <c r="AK44" s="403"/>
    </row>
    <row r="45" spans="4:44" x14ac:dyDescent="0.25">
      <c r="D45" s="120"/>
      <c r="H45" s="120"/>
      <c r="L45" s="120"/>
      <c r="P45" s="120"/>
      <c r="T45" s="120"/>
      <c r="X45" s="120"/>
      <c r="AB45" s="120"/>
      <c r="AF45" s="120"/>
      <c r="AG45" s="120"/>
      <c r="AK45" s="403"/>
    </row>
    <row r="46" spans="4:44" x14ac:dyDescent="0.25">
      <c r="D46" s="120"/>
      <c r="H46" s="120"/>
      <c r="L46" s="120"/>
      <c r="P46" s="120"/>
      <c r="T46" s="120"/>
      <c r="X46" s="120"/>
      <c r="AB46" s="120"/>
      <c r="AF46" s="120"/>
      <c r="AG46" s="120"/>
      <c r="AK46" s="403"/>
    </row>
    <row r="47" spans="4:44" x14ac:dyDescent="0.25">
      <c r="D47" s="120"/>
      <c r="H47" s="120"/>
      <c r="L47" s="120"/>
      <c r="P47" s="120"/>
      <c r="T47" s="120"/>
      <c r="X47" s="120"/>
      <c r="AB47" s="120"/>
      <c r="AF47" s="120"/>
      <c r="AG47" s="120"/>
      <c r="AK47" s="403"/>
    </row>
    <row r="48" spans="4:44"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2" orientation="landscape" copies="15" r:id="rId1"/>
  <headerFooter alignWithMargins="0">
    <oddHeader>&amp;C&amp;"-,Bold"Proposed Budget &amp; Analysis Report for FY20</oddHeader>
    <oddFooter>&amp;C&amp;D&amp;T&amp;R&amp;A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3:AR358"/>
  <sheetViews>
    <sheetView zoomScaleNormal="100" zoomScaleSheetLayoutView="100" workbookViewId="0">
      <selection activeCell="C6" sqref="C6"/>
    </sheetView>
  </sheetViews>
  <sheetFormatPr defaultRowHeight="13.5" x14ac:dyDescent="0.25"/>
  <cols>
    <col min="1" max="1" width="19" style="161" bestFit="1" customWidth="1"/>
    <col min="2" max="2" width="5" style="161" customWidth="1"/>
    <col min="3" max="3" width="40.85546875" style="161" customWidth="1"/>
    <col min="4" max="4" width="13.28515625" style="211" hidden="1" customWidth="1"/>
    <col min="5" max="5" width="14" style="211" hidden="1" customWidth="1"/>
    <col min="6" max="6" width="7.7109375" style="211" hidden="1" customWidth="1"/>
    <col min="7" max="7" width="2.140625" style="213" hidden="1" customWidth="1"/>
    <col min="8" max="8" width="13.28515625" style="211" hidden="1" customWidth="1"/>
    <col min="9" max="9" width="14" style="211" hidden="1" customWidth="1"/>
    <col min="10" max="10" width="7.7109375" style="211" hidden="1" customWidth="1"/>
    <col min="11" max="11" width="2.140625" style="213" hidden="1" customWidth="1"/>
    <col min="12" max="12" width="13.28515625" style="211" hidden="1" customWidth="1"/>
    <col min="13" max="13" width="14" style="211" hidden="1" customWidth="1"/>
    <col min="14" max="14" width="7.7109375" style="211" hidden="1" customWidth="1"/>
    <col min="15" max="15" width="2.140625" style="213" hidden="1" customWidth="1"/>
    <col min="16" max="16" width="13.28515625" style="211" hidden="1" customWidth="1"/>
    <col min="17" max="17" width="14" style="211" hidden="1" customWidth="1"/>
    <col min="18" max="18" width="7.7109375" style="211" hidden="1" customWidth="1"/>
    <col min="19" max="19" width="2.140625" style="213" hidden="1" customWidth="1"/>
    <col min="20" max="20" width="13.28515625" style="161" hidden="1" customWidth="1"/>
    <col min="21" max="21" width="14" style="161" hidden="1" customWidth="1"/>
    <col min="22" max="22" width="7.7109375" style="161" hidden="1" customWidth="1"/>
    <col min="23" max="23" width="2.140625" style="103" hidden="1" customWidth="1"/>
    <col min="24" max="24" width="11.5703125" style="161" hidden="1" customWidth="1"/>
    <col min="25" max="25" width="13.28515625" style="161" hidden="1" customWidth="1"/>
    <col min="26" max="26" width="8.28515625" style="161" hidden="1" customWidth="1"/>
    <col min="27" max="27" width="2.140625" style="103" hidden="1" customWidth="1"/>
    <col min="28" max="29" width="10.5703125" style="161" bestFit="1" customWidth="1"/>
    <col min="30" max="30" width="9.28515625" style="161" bestFit="1" customWidth="1"/>
    <col min="31" max="31" width="2.140625" style="213" customWidth="1"/>
    <col min="32" max="32" width="10.5703125" style="211" hidden="1" customWidth="1"/>
    <col min="33" max="33" width="12.5703125" style="211" customWidth="1"/>
    <col min="34" max="34" width="11.5703125" style="211" bestFit="1" customWidth="1"/>
    <col min="35" max="35" width="8.28515625" style="211" bestFit="1" customWidth="1"/>
    <col min="36" max="36" width="1.85546875" style="161" customWidth="1"/>
    <col min="37" max="37" width="11.5703125" style="394" bestFit="1" customWidth="1"/>
    <col min="38" max="38" width="13.28515625" style="394" bestFit="1" customWidth="1"/>
    <col min="39" max="39" width="9.28515625" style="394" bestFit="1" customWidth="1"/>
    <col min="40" max="40" width="2.140625" style="397" customWidth="1"/>
    <col min="41" max="41" width="13.5703125" style="104" customWidth="1"/>
    <col min="42" max="42" width="11.28515625" style="104" bestFit="1" customWidth="1"/>
    <col min="43" max="43" width="11.85546875" style="161" customWidth="1"/>
    <col min="44" max="44" width="37.42578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1660</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c r="AO5" s="103"/>
      <c r="AP5" s="103"/>
      <c r="AR5" s="111"/>
    </row>
    <row r="6" spans="1:44" s="211" customFormat="1" x14ac:dyDescent="0.25">
      <c r="A6" s="211" t="s">
        <v>363</v>
      </c>
      <c r="B6" s="214" t="str">
        <f>MID(A6,14,4)</f>
        <v>5107</v>
      </c>
      <c r="C6" s="211" t="s">
        <v>3</v>
      </c>
      <c r="D6" s="245">
        <v>49877</v>
      </c>
      <c r="E6" s="245">
        <v>49877.1</v>
      </c>
      <c r="F6" s="216"/>
      <c r="G6" s="213"/>
      <c r="H6" s="245">
        <v>52946</v>
      </c>
      <c r="I6" s="245">
        <v>52946</v>
      </c>
      <c r="J6" s="216"/>
      <c r="K6" s="213"/>
      <c r="L6" s="245">
        <v>56399.49</v>
      </c>
      <c r="M6" s="245">
        <v>56399.46</v>
      </c>
      <c r="N6" s="216"/>
      <c r="O6" s="213"/>
      <c r="P6" s="245">
        <v>59724.63</v>
      </c>
      <c r="Q6" s="245">
        <v>60595.7</v>
      </c>
      <c r="R6" s="216"/>
      <c r="S6" s="213"/>
      <c r="T6" s="245">
        <v>62793.99</v>
      </c>
      <c r="U6" s="245">
        <v>62793.9</v>
      </c>
      <c r="V6" s="216"/>
      <c r="W6" s="213"/>
      <c r="X6" s="245">
        <v>66152.38</v>
      </c>
      <c r="Y6" s="245">
        <v>66152.38</v>
      </c>
      <c r="Z6" s="216">
        <v>5.3482666095911513E-2</v>
      </c>
      <c r="AA6" s="213"/>
      <c r="AB6" s="245">
        <v>70065.45</v>
      </c>
      <c r="AC6" s="245">
        <v>70656.95</v>
      </c>
      <c r="AD6" s="216">
        <f>(AB6-X6)/X6</f>
        <v>5.9152369121110868E-2</v>
      </c>
      <c r="AE6" s="213"/>
      <c r="AF6" s="163">
        <v>78515.33</v>
      </c>
      <c r="AG6" s="380">
        <v>85425.3</v>
      </c>
      <c r="AH6" s="245">
        <v>85425.3</v>
      </c>
      <c r="AI6" s="216">
        <f>(AG6-AB6)/AB6</f>
        <v>0.21922145650959218</v>
      </c>
      <c r="AJ6" s="216"/>
      <c r="AK6" s="398">
        <v>90084.15</v>
      </c>
      <c r="AL6" s="398">
        <v>43143.75</v>
      </c>
      <c r="AM6" s="396">
        <f>(AK6-AG6)/AG6</f>
        <v>5.4537121906507689E-2</v>
      </c>
      <c r="AN6" s="397"/>
      <c r="AO6" s="163">
        <f>'FY20 Payroll Schedule'!J19</f>
        <v>95291.1</v>
      </c>
      <c r="AP6" s="212">
        <f>AO6-AK6</f>
        <v>5206.9500000000116</v>
      </c>
      <c r="AQ6" s="396">
        <f>(AO6-AK6)/AK6</f>
        <v>5.7800956106040982E-2</v>
      </c>
      <c r="AR6" s="521" t="s">
        <v>2032</v>
      </c>
    </row>
    <row r="7" spans="1:44" x14ac:dyDescent="0.25">
      <c r="A7" s="214" t="s">
        <v>1407</v>
      </c>
      <c r="B7" s="119" t="str">
        <f>MID(A7,14,4)</f>
        <v>5142</v>
      </c>
      <c r="C7" s="161" t="s">
        <v>1455</v>
      </c>
      <c r="D7" s="245">
        <v>0</v>
      </c>
      <c r="E7" s="245">
        <v>0</v>
      </c>
      <c r="F7" s="216"/>
      <c r="H7" s="245">
        <v>0</v>
      </c>
      <c r="I7" s="245">
        <v>0</v>
      </c>
      <c r="J7" s="216"/>
      <c r="L7" s="245">
        <v>0</v>
      </c>
      <c r="M7" s="245">
        <v>0</v>
      </c>
      <c r="N7" s="216"/>
      <c r="P7" s="245">
        <v>0</v>
      </c>
      <c r="Q7" s="245">
        <v>0</v>
      </c>
      <c r="R7" s="216"/>
      <c r="T7" s="162">
        <v>0</v>
      </c>
      <c r="U7" s="162">
        <v>0</v>
      </c>
      <c r="V7" s="80"/>
      <c r="X7" s="162">
        <v>0</v>
      </c>
      <c r="Y7" s="162">
        <v>0</v>
      </c>
      <c r="Z7" s="80"/>
      <c r="AB7" s="162">
        <v>0</v>
      </c>
      <c r="AC7" s="162">
        <v>0</v>
      </c>
      <c r="AD7" s="80"/>
      <c r="AF7" s="163"/>
      <c r="AG7" s="380"/>
      <c r="AH7" s="245">
        <v>0</v>
      </c>
      <c r="AI7" s="396"/>
      <c r="AJ7" s="80"/>
      <c r="AK7" s="398">
        <v>900.84</v>
      </c>
      <c r="AL7" s="398">
        <v>900.84</v>
      </c>
      <c r="AM7" s="396" t="e">
        <f>(AK7-AG7)/AG7</f>
        <v>#DIV/0!</v>
      </c>
      <c r="AO7" s="163">
        <f>'FY20 Payroll Schedule'!K19</f>
        <v>952.91100000000006</v>
      </c>
      <c r="AP7" s="399">
        <f>AO7-AK7</f>
        <v>52.071000000000026</v>
      </c>
      <c r="AQ7" s="396">
        <f>(AO7-AK7)/AK7</f>
        <v>5.7802717463700574E-2</v>
      </c>
      <c r="AR7" s="400" t="s">
        <v>1165</v>
      </c>
    </row>
    <row r="8" spans="1:44" s="114" customFormat="1" x14ac:dyDescent="0.25">
      <c r="A8" s="224"/>
      <c r="B8" s="224"/>
      <c r="C8" s="224" t="s">
        <v>26</v>
      </c>
      <c r="D8" s="225">
        <f>SUM(D6:D7)</f>
        <v>49877</v>
      </c>
      <c r="E8" s="225">
        <f>SUM(E6:E7)</f>
        <v>49877.1</v>
      </c>
      <c r="F8" s="226">
        <v>6.5199999999999994E-2</v>
      </c>
      <c r="G8" s="224"/>
      <c r="H8" s="225">
        <f>SUM(H6:H7)</f>
        <v>52946</v>
      </c>
      <c r="I8" s="225">
        <f>SUM(I6:I7)</f>
        <v>52946</v>
      </c>
      <c r="J8" s="226">
        <v>6.5199999999999994E-2</v>
      </c>
      <c r="K8" s="224"/>
      <c r="L8" s="225">
        <f>SUM(L6:L7)</f>
        <v>56399.49</v>
      </c>
      <c r="M8" s="225">
        <f>SUM(M6:M7)</f>
        <v>56399.46</v>
      </c>
      <c r="N8" s="226">
        <v>6.5199999999999994E-2</v>
      </c>
      <c r="O8" s="224"/>
      <c r="P8" s="225">
        <f>SUM(P6:P7)</f>
        <v>59724.63</v>
      </c>
      <c r="Q8" s="225">
        <f>SUM(Q6:Q7)</f>
        <v>60595.7</v>
      </c>
      <c r="R8" s="226">
        <v>6.5199999999999994E-2</v>
      </c>
      <c r="S8" s="224"/>
      <c r="T8" s="225">
        <f>SUM(T6:T7)</f>
        <v>62793.99</v>
      </c>
      <c r="U8" s="225">
        <f>SUM(U6:U7)</f>
        <v>62793.9</v>
      </c>
      <c r="V8" s="226">
        <v>6.5199999999999994E-2</v>
      </c>
      <c r="W8" s="224"/>
      <c r="X8" s="225">
        <f>SUM(X6:X7)</f>
        <v>66152.38</v>
      </c>
      <c r="Y8" s="225">
        <f>SUM(Y6:Y7)</f>
        <v>66152.38</v>
      </c>
      <c r="Z8" s="226">
        <f>(X8-T8)/T8</f>
        <v>5.3482666095911513E-2</v>
      </c>
      <c r="AA8" s="224"/>
      <c r="AB8" s="225">
        <f>SUM(AB6:AB7)</f>
        <v>70065.45</v>
      </c>
      <c r="AC8" s="225">
        <f>SUM(AC6:AC7)</f>
        <v>70656.95</v>
      </c>
      <c r="AD8" s="226">
        <f>(AB8-X8)/X8</f>
        <v>5.9152369121110868E-2</v>
      </c>
      <c r="AE8" s="224"/>
      <c r="AF8" s="225">
        <f>SUM(AF6:AF7)</f>
        <v>78515.33</v>
      </c>
      <c r="AG8" s="382">
        <f>SUM(AG6:AG7)</f>
        <v>85425.3</v>
      </c>
      <c r="AH8" s="225">
        <f>SUM(AH6:AH7)</f>
        <v>85425.3</v>
      </c>
      <c r="AI8" s="226">
        <f t="shared" ref="AI8:AI25" si="0">(AG8-AB8)/AB8</f>
        <v>0.21922145650959218</v>
      </c>
      <c r="AJ8" s="226"/>
      <c r="AK8" s="225">
        <f>SUM(AK6:AK7)</f>
        <v>90984.989999999991</v>
      </c>
      <c r="AL8" s="225">
        <f>SUM(AL6:AL7)</f>
        <v>44044.59</v>
      </c>
      <c r="AM8" s="226">
        <f t="shared" ref="AM8:AM25" si="1">(AK8-AG8)/AG8</f>
        <v>6.5082475566371881E-2</v>
      </c>
      <c r="AN8" s="224"/>
      <c r="AO8" s="225">
        <f>SUM(AO6:AO7)</f>
        <v>96244.010999999999</v>
      </c>
      <c r="AP8" s="225">
        <f>SUM(AP6:AP7)</f>
        <v>5259.0210000000116</v>
      </c>
      <c r="AQ8" s="226">
        <f>AP8/AK8</f>
        <v>5.7800973545196983E-2</v>
      </c>
      <c r="AR8" s="224"/>
    </row>
    <row r="9" spans="1:44" x14ac:dyDescent="0.25">
      <c r="D9" s="112"/>
      <c r="E9" s="245"/>
      <c r="F9" s="216"/>
      <c r="H9" s="112"/>
      <c r="I9" s="245"/>
      <c r="J9" s="216"/>
      <c r="L9" s="112"/>
      <c r="M9" s="245"/>
      <c r="N9" s="216"/>
      <c r="P9" s="112"/>
      <c r="Q9" s="245"/>
      <c r="R9" s="216"/>
      <c r="T9" s="112"/>
      <c r="U9" s="162"/>
      <c r="V9" s="80"/>
      <c r="X9" s="112"/>
      <c r="Y9" s="162"/>
      <c r="Z9" s="80"/>
      <c r="AB9" s="112"/>
      <c r="AC9" s="162"/>
      <c r="AD9" s="80"/>
      <c r="AF9" s="212"/>
      <c r="AG9" s="212"/>
      <c r="AH9" s="245"/>
      <c r="AI9" s="216"/>
      <c r="AJ9" s="80"/>
      <c r="AK9" s="112"/>
      <c r="AL9" s="398"/>
      <c r="AM9" s="396"/>
      <c r="AP9" s="212"/>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P10" s="212"/>
      <c r="AQ10" s="396"/>
      <c r="AR10" s="111"/>
    </row>
    <row r="11" spans="1:44" s="211" customFormat="1" x14ac:dyDescent="0.25">
      <c r="A11" s="211" t="s">
        <v>364</v>
      </c>
      <c r="B11" s="214" t="str">
        <f t="shared" ref="B11:B22" si="2">MID(A11,14,4)</f>
        <v>5248</v>
      </c>
      <c r="C11" s="211" t="s">
        <v>1613</v>
      </c>
      <c r="D11" s="245">
        <v>9063</v>
      </c>
      <c r="E11" s="245">
        <v>9063</v>
      </c>
      <c r="F11" s="216"/>
      <c r="G11" s="213"/>
      <c r="H11" s="245">
        <v>9550</v>
      </c>
      <c r="I11" s="245">
        <v>9550</v>
      </c>
      <c r="J11" s="216"/>
      <c r="K11" s="213"/>
      <c r="L11" s="245">
        <v>9548.5</v>
      </c>
      <c r="M11" s="245">
        <v>9548.5</v>
      </c>
      <c r="N11" s="216"/>
      <c r="O11" s="213"/>
      <c r="P11" s="245">
        <v>9548.5</v>
      </c>
      <c r="Q11" s="245">
        <v>9548</v>
      </c>
      <c r="R11" s="216"/>
      <c r="S11" s="213"/>
      <c r="T11" s="245">
        <v>9463</v>
      </c>
      <c r="U11" s="245">
        <v>9463.66</v>
      </c>
      <c r="V11" s="216"/>
      <c r="W11" s="213"/>
      <c r="X11" s="245">
        <v>9935.5</v>
      </c>
      <c r="Y11" s="245">
        <v>9935.5</v>
      </c>
      <c r="Z11" s="216">
        <v>4.9931311423438658E-2</v>
      </c>
      <c r="AA11" s="213"/>
      <c r="AB11" s="245">
        <v>10434.5</v>
      </c>
      <c r="AC11" s="245">
        <v>10434.5</v>
      </c>
      <c r="AD11" s="216">
        <f t="shared" ref="AD11:AD22" si="3">(AB11-X11)/X11</f>
        <v>5.0223944441648634E-2</v>
      </c>
      <c r="AE11" s="213"/>
      <c r="AF11" s="245">
        <v>10956.23</v>
      </c>
      <c r="AG11" s="245">
        <v>10956.23</v>
      </c>
      <c r="AH11" s="245">
        <v>10737.33</v>
      </c>
      <c r="AI11" s="216">
        <f t="shared" si="0"/>
        <v>5.0000479179644404E-2</v>
      </c>
      <c r="AJ11" s="216"/>
      <c r="AK11" s="398">
        <v>10737.33</v>
      </c>
      <c r="AL11" s="398">
        <v>11060.17</v>
      </c>
      <c r="AM11" s="396">
        <f t="shared" si="1"/>
        <v>-1.9979500247804184E-2</v>
      </c>
      <c r="AN11" s="397"/>
      <c r="AO11" s="398">
        <v>11391.83</v>
      </c>
      <c r="AP11" s="399">
        <f t="shared" ref="AP11:AP22" si="4">AO11-AK11</f>
        <v>654.5</v>
      </c>
      <c r="AQ11" s="396">
        <f t="shared" ref="AQ11:AQ22" si="5">(AO11-AK11)/AK11</f>
        <v>6.0955563440818157E-2</v>
      </c>
      <c r="AR11" s="292" t="s">
        <v>947</v>
      </c>
    </row>
    <row r="12" spans="1:44" x14ac:dyDescent="0.25">
      <c r="A12" s="161" t="s">
        <v>365</v>
      </c>
      <c r="B12" s="119" t="str">
        <f t="shared" si="2"/>
        <v>5303</v>
      </c>
      <c r="C12" s="161" t="s">
        <v>1495</v>
      </c>
      <c r="D12" s="245">
        <v>900</v>
      </c>
      <c r="E12" s="245">
        <v>808.02</v>
      </c>
      <c r="F12" s="216"/>
      <c r="H12" s="245">
        <v>900</v>
      </c>
      <c r="I12" s="245">
        <v>771.68</v>
      </c>
      <c r="J12" s="216"/>
      <c r="L12" s="245">
        <v>1000</v>
      </c>
      <c r="M12" s="245">
        <v>384.54</v>
      </c>
      <c r="N12" s="216"/>
      <c r="P12" s="245">
        <v>1200</v>
      </c>
      <c r="Q12" s="245">
        <v>821.62</v>
      </c>
      <c r="R12" s="216"/>
      <c r="T12" s="245">
        <v>1000</v>
      </c>
      <c r="U12" s="245">
        <v>280.66000000000003</v>
      </c>
      <c r="V12" s="216"/>
      <c r="W12" s="213"/>
      <c r="X12" s="245">
        <v>900</v>
      </c>
      <c r="Y12" s="245">
        <v>227.73</v>
      </c>
      <c r="Z12" s="216">
        <v>-0.1</v>
      </c>
      <c r="AA12" s="213"/>
      <c r="AB12" s="245">
        <v>800</v>
      </c>
      <c r="AC12" s="245">
        <v>270.66000000000003</v>
      </c>
      <c r="AD12" s="216">
        <f t="shared" si="3"/>
        <v>-0.1111111111111111</v>
      </c>
      <c r="AF12" s="245">
        <v>800</v>
      </c>
      <c r="AG12" s="245">
        <v>800</v>
      </c>
      <c r="AH12" s="245">
        <v>277.66000000000003</v>
      </c>
      <c r="AI12" s="216">
        <f t="shared" si="0"/>
        <v>0</v>
      </c>
      <c r="AJ12" s="80"/>
      <c r="AK12" s="398">
        <v>800</v>
      </c>
      <c r="AL12" s="398">
        <v>50</v>
      </c>
      <c r="AM12" s="396">
        <f t="shared" si="1"/>
        <v>0</v>
      </c>
      <c r="AO12" s="398">
        <v>800</v>
      </c>
      <c r="AP12" s="399">
        <f t="shared" si="4"/>
        <v>0</v>
      </c>
      <c r="AQ12" s="396">
        <f t="shared" si="5"/>
        <v>0</v>
      </c>
      <c r="AR12" s="160" t="s">
        <v>856</v>
      </c>
    </row>
    <row r="13" spans="1:44" s="211" customFormat="1" x14ac:dyDescent="0.25">
      <c r="A13" s="211" t="s">
        <v>366</v>
      </c>
      <c r="B13" s="214" t="str">
        <f t="shared" si="2"/>
        <v>5306</v>
      </c>
      <c r="C13" s="211" t="s">
        <v>1599</v>
      </c>
      <c r="D13" s="245">
        <v>36</v>
      </c>
      <c r="E13" s="245">
        <v>0</v>
      </c>
      <c r="F13" s="216"/>
      <c r="G13" s="213"/>
      <c r="H13" s="245">
        <v>40</v>
      </c>
      <c r="I13" s="245">
        <v>-14.5</v>
      </c>
      <c r="J13" s="216"/>
      <c r="K13" s="213"/>
      <c r="L13" s="245">
        <v>60</v>
      </c>
      <c r="M13" s="245">
        <v>147.28</v>
      </c>
      <c r="N13" s="216"/>
      <c r="O13" s="213"/>
      <c r="P13" s="245">
        <v>80</v>
      </c>
      <c r="Q13" s="245">
        <v>0</v>
      </c>
      <c r="R13" s="216"/>
      <c r="S13" s="213"/>
      <c r="T13" s="245">
        <v>80</v>
      </c>
      <c r="U13" s="245">
        <v>128.80000000000001</v>
      </c>
      <c r="V13" s="216"/>
      <c r="W13" s="213"/>
      <c r="X13" s="245">
        <v>150</v>
      </c>
      <c r="Y13" s="245">
        <v>0</v>
      </c>
      <c r="Z13" s="216">
        <v>0.875</v>
      </c>
      <c r="AA13" s="213"/>
      <c r="AB13" s="245">
        <v>150</v>
      </c>
      <c r="AC13" s="245">
        <v>0</v>
      </c>
      <c r="AD13" s="216">
        <f t="shared" si="3"/>
        <v>0</v>
      </c>
      <c r="AE13" s="213"/>
      <c r="AF13" s="245">
        <v>150</v>
      </c>
      <c r="AG13" s="245">
        <v>150</v>
      </c>
      <c r="AH13" s="245">
        <v>0</v>
      </c>
      <c r="AI13" s="216">
        <f t="shared" si="0"/>
        <v>0</v>
      </c>
      <c r="AJ13" s="216"/>
      <c r="AK13" s="398">
        <v>150</v>
      </c>
      <c r="AL13" s="398">
        <v>0</v>
      </c>
      <c r="AM13" s="396">
        <f t="shared" si="1"/>
        <v>0</v>
      </c>
      <c r="AN13" s="397"/>
      <c r="AO13" s="398">
        <v>150</v>
      </c>
      <c r="AP13" s="399">
        <f t="shared" si="4"/>
        <v>0</v>
      </c>
      <c r="AQ13" s="396">
        <f t="shared" si="5"/>
        <v>0</v>
      </c>
      <c r="AR13" s="400"/>
    </row>
    <row r="14" spans="1:44" s="211" customFormat="1" x14ac:dyDescent="0.25">
      <c r="A14" s="211" t="s">
        <v>1064</v>
      </c>
      <c r="B14" s="214" t="str">
        <f t="shared" si="2"/>
        <v>5319</v>
      </c>
      <c r="C14" s="211" t="s">
        <v>1745</v>
      </c>
      <c r="D14" s="245">
        <v>0</v>
      </c>
      <c r="E14" s="245">
        <v>0</v>
      </c>
      <c r="F14" s="216"/>
      <c r="G14" s="213"/>
      <c r="H14" s="245">
        <v>0</v>
      </c>
      <c r="I14" s="245">
        <v>0</v>
      </c>
      <c r="J14" s="216"/>
      <c r="K14" s="213"/>
      <c r="L14" s="245">
        <v>0</v>
      </c>
      <c r="M14" s="245">
        <v>75</v>
      </c>
      <c r="N14" s="216"/>
      <c r="O14" s="213"/>
      <c r="P14" s="245">
        <v>0</v>
      </c>
      <c r="Q14" s="245">
        <v>0</v>
      </c>
      <c r="R14" s="216"/>
      <c r="S14" s="213"/>
      <c r="T14" s="245">
        <v>0</v>
      </c>
      <c r="U14" s="245">
        <v>150</v>
      </c>
      <c r="V14" s="216"/>
      <c r="W14" s="213"/>
      <c r="X14" s="245">
        <v>0</v>
      </c>
      <c r="Y14" s="245">
        <v>0</v>
      </c>
      <c r="Z14" s="216" t="e">
        <v>#DIV/0!</v>
      </c>
      <c r="AA14" s="213"/>
      <c r="AB14" s="245">
        <v>150</v>
      </c>
      <c r="AC14" s="245">
        <v>0</v>
      </c>
      <c r="AD14" s="216" t="e">
        <f t="shared" si="3"/>
        <v>#DIV/0!</v>
      </c>
      <c r="AE14" s="213"/>
      <c r="AF14" s="245">
        <v>150</v>
      </c>
      <c r="AG14" s="245">
        <v>150</v>
      </c>
      <c r="AH14" s="245">
        <v>0</v>
      </c>
      <c r="AI14" s="216">
        <f t="shared" si="0"/>
        <v>0</v>
      </c>
      <c r="AJ14" s="216"/>
      <c r="AK14" s="398">
        <v>225</v>
      </c>
      <c r="AL14" s="398">
        <v>0</v>
      </c>
      <c r="AM14" s="396">
        <f t="shared" si="1"/>
        <v>0.5</v>
      </c>
      <c r="AN14" s="397"/>
      <c r="AO14" s="398">
        <v>225</v>
      </c>
      <c r="AP14" s="399">
        <f t="shared" si="4"/>
        <v>0</v>
      </c>
      <c r="AQ14" s="396">
        <f t="shared" si="5"/>
        <v>0</v>
      </c>
      <c r="AR14" s="292" t="s">
        <v>1179</v>
      </c>
    </row>
    <row r="15" spans="1:44" s="211" customFormat="1" x14ac:dyDescent="0.25">
      <c r="A15" s="211" t="s">
        <v>367</v>
      </c>
      <c r="B15" s="214" t="str">
        <f t="shared" si="2"/>
        <v>5341</v>
      </c>
      <c r="C15" s="211" t="s">
        <v>1640</v>
      </c>
      <c r="D15" s="245">
        <v>80</v>
      </c>
      <c r="E15" s="245">
        <v>0</v>
      </c>
      <c r="F15" s="216"/>
      <c r="G15" s="213"/>
      <c r="H15" s="245">
        <v>60</v>
      </c>
      <c r="I15" s="245">
        <v>60</v>
      </c>
      <c r="J15" s="216"/>
      <c r="K15" s="213"/>
      <c r="L15" s="245">
        <v>60</v>
      </c>
      <c r="M15" s="245">
        <v>0</v>
      </c>
      <c r="N15" s="216"/>
      <c r="O15" s="213"/>
      <c r="P15" s="245">
        <v>60</v>
      </c>
      <c r="Q15" s="245">
        <v>0</v>
      </c>
      <c r="R15" s="216"/>
      <c r="S15" s="213"/>
      <c r="T15" s="245">
        <v>60</v>
      </c>
      <c r="U15" s="245">
        <v>0</v>
      </c>
      <c r="V15" s="216"/>
      <c r="W15" s="213"/>
      <c r="X15" s="245">
        <v>60</v>
      </c>
      <c r="Y15" s="245">
        <v>0</v>
      </c>
      <c r="Z15" s="216">
        <v>0</v>
      </c>
      <c r="AA15" s="213"/>
      <c r="AB15" s="245">
        <v>60</v>
      </c>
      <c r="AC15" s="245">
        <v>0</v>
      </c>
      <c r="AD15" s="216">
        <f t="shared" si="3"/>
        <v>0</v>
      </c>
      <c r="AE15" s="213"/>
      <c r="AF15" s="245">
        <v>60</v>
      </c>
      <c r="AG15" s="245">
        <v>60</v>
      </c>
      <c r="AH15" s="245">
        <v>0</v>
      </c>
      <c r="AI15" s="216">
        <f t="shared" si="0"/>
        <v>0</v>
      </c>
      <c r="AJ15" s="216"/>
      <c r="AK15" s="398">
        <v>60</v>
      </c>
      <c r="AL15" s="398">
        <v>0</v>
      </c>
      <c r="AM15" s="396">
        <f t="shared" si="1"/>
        <v>0</v>
      </c>
      <c r="AN15" s="397"/>
      <c r="AO15" s="398">
        <v>60</v>
      </c>
      <c r="AP15" s="399">
        <f t="shared" si="4"/>
        <v>0</v>
      </c>
      <c r="AQ15" s="396">
        <f t="shared" si="5"/>
        <v>0</v>
      </c>
      <c r="AR15" s="292" t="s">
        <v>857</v>
      </c>
    </row>
    <row r="16" spans="1:44" s="211" customFormat="1" x14ac:dyDescent="0.25">
      <c r="A16" s="211" t="s">
        <v>368</v>
      </c>
      <c r="B16" s="214" t="str">
        <f t="shared" si="2"/>
        <v>5344</v>
      </c>
      <c r="C16" s="211" t="s">
        <v>1601</v>
      </c>
      <c r="D16" s="245">
        <v>3400</v>
      </c>
      <c r="E16" s="245">
        <v>2563.31</v>
      </c>
      <c r="F16" s="216"/>
      <c r="G16" s="213"/>
      <c r="H16" s="245">
        <v>3200</v>
      </c>
      <c r="I16" s="245">
        <v>1578.02</v>
      </c>
      <c r="J16" s="216"/>
      <c r="K16" s="213"/>
      <c r="L16" s="245">
        <v>3300</v>
      </c>
      <c r="M16" s="245">
        <v>3311.91</v>
      </c>
      <c r="N16" s="216"/>
      <c r="O16" s="213"/>
      <c r="P16" s="245">
        <v>3400</v>
      </c>
      <c r="Q16" s="245">
        <v>2857.65</v>
      </c>
      <c r="R16" s="216"/>
      <c r="S16" s="213"/>
      <c r="T16" s="245">
        <v>3600</v>
      </c>
      <c r="U16" s="245">
        <v>3288.57</v>
      </c>
      <c r="V16" s="216"/>
      <c r="W16" s="213"/>
      <c r="X16" s="245">
        <v>3600</v>
      </c>
      <c r="Y16" s="245">
        <v>2798.05</v>
      </c>
      <c r="Z16" s="216">
        <v>0</v>
      </c>
      <c r="AA16" s="213"/>
      <c r="AB16" s="245">
        <v>3700</v>
      </c>
      <c r="AC16" s="245">
        <v>3314.3</v>
      </c>
      <c r="AD16" s="216">
        <f t="shared" si="3"/>
        <v>2.7777777777777776E-2</v>
      </c>
      <c r="AE16" s="213"/>
      <c r="AF16" s="245">
        <v>3700</v>
      </c>
      <c r="AG16" s="245">
        <v>3700</v>
      </c>
      <c r="AH16" s="245">
        <v>3357.02</v>
      </c>
      <c r="AI16" s="216">
        <f t="shared" si="0"/>
        <v>0</v>
      </c>
      <c r="AJ16" s="216"/>
      <c r="AK16" s="398">
        <v>3800</v>
      </c>
      <c r="AL16" s="398">
        <v>82.26</v>
      </c>
      <c r="AM16" s="396">
        <f t="shared" si="1"/>
        <v>2.7027027027027029E-2</v>
      </c>
      <c r="AN16" s="397"/>
      <c r="AO16" s="398">
        <v>3900</v>
      </c>
      <c r="AP16" s="399">
        <f t="shared" si="4"/>
        <v>100</v>
      </c>
      <c r="AQ16" s="396">
        <f t="shared" si="5"/>
        <v>2.6315789473684209E-2</v>
      </c>
      <c r="AR16" s="292" t="s">
        <v>858</v>
      </c>
    </row>
    <row r="17" spans="1:44" s="211" customFormat="1" x14ac:dyDescent="0.25">
      <c r="A17" s="211" t="s">
        <v>369</v>
      </c>
      <c r="B17" s="214" t="str">
        <f t="shared" si="2"/>
        <v>5420</v>
      </c>
      <c r="C17" s="211" t="s">
        <v>1480</v>
      </c>
      <c r="D17" s="245">
        <v>100</v>
      </c>
      <c r="E17" s="245">
        <v>100</v>
      </c>
      <c r="F17" s="216"/>
      <c r="G17" s="213"/>
      <c r="H17" s="245">
        <v>100</v>
      </c>
      <c r="I17" s="245">
        <v>121.41</v>
      </c>
      <c r="J17" s="216"/>
      <c r="K17" s="213"/>
      <c r="L17" s="245">
        <v>100</v>
      </c>
      <c r="M17" s="245">
        <v>213.78</v>
      </c>
      <c r="N17" s="216"/>
      <c r="O17" s="213"/>
      <c r="P17" s="245">
        <v>130</v>
      </c>
      <c r="Q17" s="245">
        <v>49.06</v>
      </c>
      <c r="R17" s="216"/>
      <c r="S17" s="213"/>
      <c r="T17" s="245">
        <v>130</v>
      </c>
      <c r="U17" s="245">
        <v>56.22</v>
      </c>
      <c r="V17" s="216"/>
      <c r="W17" s="213"/>
      <c r="X17" s="245">
        <v>130</v>
      </c>
      <c r="Y17" s="245">
        <v>8.7899999999999991</v>
      </c>
      <c r="Z17" s="216">
        <v>0</v>
      </c>
      <c r="AA17" s="213"/>
      <c r="AB17" s="245">
        <v>130</v>
      </c>
      <c r="AC17" s="245">
        <v>116.77</v>
      </c>
      <c r="AD17" s="216">
        <f t="shared" si="3"/>
        <v>0</v>
      </c>
      <c r="AE17" s="213"/>
      <c r="AF17" s="245">
        <v>130</v>
      </c>
      <c r="AG17" s="245">
        <v>130</v>
      </c>
      <c r="AH17" s="245">
        <v>109.68</v>
      </c>
      <c r="AI17" s="216">
        <f t="shared" si="0"/>
        <v>0</v>
      </c>
      <c r="AJ17" s="216"/>
      <c r="AK17" s="398">
        <v>130</v>
      </c>
      <c r="AL17" s="398">
        <v>49.8</v>
      </c>
      <c r="AM17" s="396">
        <f t="shared" si="1"/>
        <v>0</v>
      </c>
      <c r="AN17" s="397"/>
      <c r="AO17" s="398">
        <v>130</v>
      </c>
      <c r="AP17" s="399">
        <f t="shared" si="4"/>
        <v>0</v>
      </c>
      <c r="AQ17" s="396">
        <f t="shared" si="5"/>
        <v>0</v>
      </c>
      <c r="AR17" s="292" t="s">
        <v>859</v>
      </c>
    </row>
    <row r="18" spans="1:44" s="211" customFormat="1" x14ac:dyDescent="0.25">
      <c r="A18" s="211" t="s">
        <v>370</v>
      </c>
      <c r="B18" s="214" t="str">
        <f t="shared" si="2"/>
        <v>5421</v>
      </c>
      <c r="C18" s="211" t="s">
        <v>1766</v>
      </c>
      <c r="D18" s="245">
        <v>900</v>
      </c>
      <c r="E18" s="245">
        <v>900</v>
      </c>
      <c r="F18" s="216"/>
      <c r="G18" s="213"/>
      <c r="H18" s="245">
        <v>1025</v>
      </c>
      <c r="I18" s="245">
        <v>1025</v>
      </c>
      <c r="J18" s="216"/>
      <c r="K18" s="213"/>
      <c r="L18" s="245">
        <v>1500</v>
      </c>
      <c r="M18" s="245">
        <v>1710</v>
      </c>
      <c r="N18" s="216"/>
      <c r="O18" s="213"/>
      <c r="P18" s="245">
        <v>1775</v>
      </c>
      <c r="Q18" s="245">
        <v>1540</v>
      </c>
      <c r="R18" s="216"/>
      <c r="S18" s="213"/>
      <c r="T18" s="245">
        <v>1775</v>
      </c>
      <c r="U18" s="245">
        <v>1505</v>
      </c>
      <c r="V18" s="216"/>
      <c r="W18" s="213"/>
      <c r="X18" s="245">
        <v>1775</v>
      </c>
      <c r="Y18" s="245">
        <v>1625</v>
      </c>
      <c r="Z18" s="216">
        <v>0</v>
      </c>
      <c r="AA18" s="213"/>
      <c r="AB18" s="245">
        <v>1875</v>
      </c>
      <c r="AC18" s="245">
        <v>1255</v>
      </c>
      <c r="AD18" s="216">
        <f t="shared" si="3"/>
        <v>5.6338028169014086E-2</v>
      </c>
      <c r="AE18" s="213"/>
      <c r="AF18" s="245">
        <v>1875</v>
      </c>
      <c r="AG18" s="245">
        <v>1875</v>
      </c>
      <c r="AH18" s="245">
        <v>1510</v>
      </c>
      <c r="AI18" s="216">
        <f t="shared" si="0"/>
        <v>0</v>
      </c>
      <c r="AJ18" s="216"/>
      <c r="AK18" s="398">
        <v>1910</v>
      </c>
      <c r="AL18" s="398">
        <v>930</v>
      </c>
      <c r="AM18" s="396">
        <f t="shared" si="1"/>
        <v>1.8666666666666668E-2</v>
      </c>
      <c r="AN18" s="397"/>
      <c r="AO18" s="398">
        <v>2035</v>
      </c>
      <c r="AP18" s="399">
        <f t="shared" si="4"/>
        <v>125</v>
      </c>
      <c r="AQ18" s="396">
        <f t="shared" si="5"/>
        <v>6.5445026178010471E-2</v>
      </c>
      <c r="AR18" s="292" t="s">
        <v>1177</v>
      </c>
    </row>
    <row r="19" spans="1:44" x14ac:dyDescent="0.25">
      <c r="A19" s="161" t="s">
        <v>371</v>
      </c>
      <c r="B19" s="119" t="str">
        <f t="shared" si="2"/>
        <v>5582</v>
      </c>
      <c r="C19" s="161" t="s">
        <v>1615</v>
      </c>
      <c r="D19" s="245">
        <v>200</v>
      </c>
      <c r="E19" s="245">
        <v>121.02</v>
      </c>
      <c r="F19" s="216"/>
      <c r="H19" s="245">
        <v>200</v>
      </c>
      <c r="I19" s="245">
        <v>200</v>
      </c>
      <c r="J19" s="216"/>
      <c r="L19" s="245">
        <v>200</v>
      </c>
      <c r="M19" s="245">
        <v>180.75</v>
      </c>
      <c r="N19" s="216"/>
      <c r="P19" s="245">
        <v>200</v>
      </c>
      <c r="Q19" s="245">
        <v>74.98</v>
      </c>
      <c r="R19" s="216"/>
      <c r="T19" s="245">
        <v>200</v>
      </c>
      <c r="U19" s="245">
        <v>52.44</v>
      </c>
      <c r="V19" s="216"/>
      <c r="W19" s="213"/>
      <c r="X19" s="245">
        <v>200</v>
      </c>
      <c r="Y19" s="245">
        <v>102.61</v>
      </c>
      <c r="Z19" s="216">
        <v>0</v>
      </c>
      <c r="AA19" s="213"/>
      <c r="AB19" s="245">
        <v>200</v>
      </c>
      <c r="AC19" s="245">
        <v>54.94</v>
      </c>
      <c r="AD19" s="216">
        <f t="shared" si="3"/>
        <v>0</v>
      </c>
      <c r="AF19" s="245">
        <v>200</v>
      </c>
      <c r="AG19" s="245">
        <v>200</v>
      </c>
      <c r="AH19" s="245">
        <v>36.81</v>
      </c>
      <c r="AI19" s="216">
        <f t="shared" si="0"/>
        <v>0</v>
      </c>
      <c r="AJ19" s="80"/>
      <c r="AK19" s="398">
        <v>200</v>
      </c>
      <c r="AL19" s="398">
        <v>105.13</v>
      </c>
      <c r="AM19" s="396">
        <f t="shared" si="1"/>
        <v>0</v>
      </c>
      <c r="AO19" s="398">
        <v>325</v>
      </c>
      <c r="AP19" s="399">
        <f t="shared" si="4"/>
        <v>125</v>
      </c>
      <c r="AQ19" s="396">
        <f t="shared" si="5"/>
        <v>0.625</v>
      </c>
      <c r="AR19" s="160" t="s">
        <v>860</v>
      </c>
    </row>
    <row r="20" spans="1:44" s="211" customFormat="1" x14ac:dyDescent="0.25">
      <c r="A20" s="211" t="s">
        <v>372</v>
      </c>
      <c r="B20" s="214" t="str">
        <f t="shared" si="2"/>
        <v>5710</v>
      </c>
      <c r="C20" s="211" t="s">
        <v>1605</v>
      </c>
      <c r="D20" s="245">
        <v>200</v>
      </c>
      <c r="E20" s="245">
        <v>159.19999999999999</v>
      </c>
      <c r="F20" s="216"/>
      <c r="G20" s="213"/>
      <c r="H20" s="245">
        <v>200</v>
      </c>
      <c r="I20" s="245">
        <v>94.2</v>
      </c>
      <c r="J20" s="216"/>
      <c r="K20" s="213"/>
      <c r="L20" s="245">
        <v>200</v>
      </c>
      <c r="M20" s="245">
        <v>149</v>
      </c>
      <c r="N20" s="216"/>
      <c r="O20" s="213"/>
      <c r="P20" s="245">
        <v>200</v>
      </c>
      <c r="Q20" s="245">
        <v>262.10000000000002</v>
      </c>
      <c r="R20" s="216"/>
      <c r="S20" s="213"/>
      <c r="T20" s="245">
        <v>200</v>
      </c>
      <c r="U20" s="245">
        <v>155</v>
      </c>
      <c r="V20" s="216"/>
      <c r="W20" s="213"/>
      <c r="X20" s="245">
        <v>225</v>
      </c>
      <c r="Y20" s="245">
        <v>190.48</v>
      </c>
      <c r="Z20" s="216">
        <v>0.125</v>
      </c>
      <c r="AA20" s="213"/>
      <c r="AB20" s="245">
        <v>225</v>
      </c>
      <c r="AC20" s="245">
        <v>182.89</v>
      </c>
      <c r="AD20" s="216">
        <f t="shared" si="3"/>
        <v>0</v>
      </c>
      <c r="AE20" s="213"/>
      <c r="AF20" s="245">
        <v>225</v>
      </c>
      <c r="AG20" s="245">
        <v>225</v>
      </c>
      <c r="AH20" s="245">
        <v>182.89</v>
      </c>
      <c r="AI20" s="216">
        <f t="shared" si="0"/>
        <v>0</v>
      </c>
      <c r="AJ20" s="216"/>
      <c r="AK20" s="398">
        <v>225</v>
      </c>
      <c r="AL20" s="398">
        <v>63</v>
      </c>
      <c r="AM20" s="396">
        <f t="shared" si="1"/>
        <v>0</v>
      </c>
      <c r="AN20" s="397"/>
      <c r="AO20" s="398">
        <v>225</v>
      </c>
      <c r="AP20" s="399">
        <f t="shared" si="4"/>
        <v>0</v>
      </c>
      <c r="AQ20" s="396">
        <f t="shared" si="5"/>
        <v>0</v>
      </c>
      <c r="AR20" s="246" t="s">
        <v>861</v>
      </c>
    </row>
    <row r="21" spans="1:44" s="211" customFormat="1" x14ac:dyDescent="0.25">
      <c r="A21" s="211" t="s">
        <v>373</v>
      </c>
      <c r="B21" s="214" t="str">
        <f t="shared" si="2"/>
        <v>5730</v>
      </c>
      <c r="C21" s="211" t="s">
        <v>1594</v>
      </c>
      <c r="D21" s="245">
        <v>60</v>
      </c>
      <c r="E21" s="245">
        <v>60</v>
      </c>
      <c r="F21" s="216"/>
      <c r="G21" s="213"/>
      <c r="H21" s="245">
        <v>60</v>
      </c>
      <c r="I21" s="245">
        <v>60</v>
      </c>
      <c r="J21" s="216"/>
      <c r="K21" s="213"/>
      <c r="L21" s="245">
        <v>60</v>
      </c>
      <c r="M21" s="245">
        <v>60</v>
      </c>
      <c r="N21" s="216"/>
      <c r="O21" s="213"/>
      <c r="P21" s="245">
        <v>60</v>
      </c>
      <c r="Q21" s="245">
        <v>60</v>
      </c>
      <c r="R21" s="216"/>
      <c r="S21" s="213"/>
      <c r="T21" s="245">
        <v>60</v>
      </c>
      <c r="U21" s="245">
        <v>65</v>
      </c>
      <c r="V21" s="216"/>
      <c r="W21" s="213"/>
      <c r="X21" s="245">
        <v>65</v>
      </c>
      <c r="Y21" s="245">
        <v>65</v>
      </c>
      <c r="Z21" s="216">
        <v>8.3333333333333329E-2</v>
      </c>
      <c r="AA21" s="213"/>
      <c r="AB21" s="245">
        <v>65</v>
      </c>
      <c r="AC21" s="245">
        <v>15</v>
      </c>
      <c r="AD21" s="216">
        <f t="shared" si="3"/>
        <v>0</v>
      </c>
      <c r="AE21" s="213"/>
      <c r="AF21" s="245">
        <v>65</v>
      </c>
      <c r="AG21" s="245">
        <v>65</v>
      </c>
      <c r="AH21" s="245">
        <v>65</v>
      </c>
      <c r="AI21" s="216">
        <f t="shared" si="0"/>
        <v>0</v>
      </c>
      <c r="AJ21" s="216"/>
      <c r="AK21" s="398">
        <v>65</v>
      </c>
      <c r="AL21" s="398">
        <v>65</v>
      </c>
      <c r="AM21" s="396">
        <f t="shared" si="1"/>
        <v>0</v>
      </c>
      <c r="AN21" s="397"/>
      <c r="AO21" s="398">
        <v>65</v>
      </c>
      <c r="AP21" s="399">
        <f t="shared" si="4"/>
        <v>0</v>
      </c>
      <c r="AQ21" s="396">
        <f t="shared" si="5"/>
        <v>0</v>
      </c>
      <c r="AR21" s="246" t="s">
        <v>862</v>
      </c>
    </row>
    <row r="22" spans="1:44" x14ac:dyDescent="0.25">
      <c r="A22" s="161" t="s">
        <v>374</v>
      </c>
      <c r="B22" s="119" t="str">
        <f t="shared" si="2"/>
        <v>5741</v>
      </c>
      <c r="C22" s="161" t="s">
        <v>1741</v>
      </c>
      <c r="D22" s="245">
        <v>465</v>
      </c>
      <c r="E22" s="245">
        <v>465</v>
      </c>
      <c r="F22" s="216"/>
      <c r="H22" s="245">
        <v>485</v>
      </c>
      <c r="I22" s="245">
        <v>465</v>
      </c>
      <c r="J22" s="216"/>
      <c r="L22" s="245">
        <v>465</v>
      </c>
      <c r="M22" s="245">
        <v>465</v>
      </c>
      <c r="N22" s="216"/>
      <c r="P22" s="245">
        <v>465</v>
      </c>
      <c r="Q22" s="245">
        <v>465</v>
      </c>
      <c r="R22" s="216"/>
      <c r="T22" s="245">
        <v>465</v>
      </c>
      <c r="U22" s="245">
        <v>465</v>
      </c>
      <c r="V22" s="216"/>
      <c r="W22" s="213"/>
      <c r="X22" s="245">
        <v>465</v>
      </c>
      <c r="Y22" s="245">
        <v>465</v>
      </c>
      <c r="Z22" s="216">
        <v>0</v>
      </c>
      <c r="AA22" s="213"/>
      <c r="AB22" s="245">
        <v>465</v>
      </c>
      <c r="AC22" s="245">
        <v>465</v>
      </c>
      <c r="AD22" s="216">
        <f t="shared" si="3"/>
        <v>0</v>
      </c>
      <c r="AF22" s="245">
        <v>465</v>
      </c>
      <c r="AG22" s="245">
        <v>465</v>
      </c>
      <c r="AH22" s="245">
        <v>465</v>
      </c>
      <c r="AI22" s="216">
        <f t="shared" si="0"/>
        <v>0</v>
      </c>
      <c r="AJ22" s="80"/>
      <c r="AK22" s="398">
        <v>465</v>
      </c>
      <c r="AL22" s="398">
        <v>0</v>
      </c>
      <c r="AM22" s="396">
        <f t="shared" si="1"/>
        <v>0</v>
      </c>
      <c r="AO22" s="398">
        <v>465</v>
      </c>
      <c r="AP22" s="399">
        <f t="shared" si="4"/>
        <v>0</v>
      </c>
      <c r="AQ22" s="396">
        <f t="shared" si="5"/>
        <v>0</v>
      </c>
      <c r="AR22" s="160"/>
    </row>
    <row r="23" spans="1:44" s="114" customFormat="1" x14ac:dyDescent="0.25">
      <c r="A23" s="219"/>
      <c r="B23" s="219"/>
      <c r="C23" s="219" t="s">
        <v>279</v>
      </c>
      <c r="D23" s="220">
        <f>SUM(D11:D22)</f>
        <v>15404</v>
      </c>
      <c r="E23" s="220">
        <f>SUM(E11:E22)</f>
        <v>14239.550000000001</v>
      </c>
      <c r="F23" s="221">
        <v>4.2599999999999999E-2</v>
      </c>
      <c r="G23" s="219"/>
      <c r="H23" s="220">
        <f>SUM(H11:H22)</f>
        <v>15820</v>
      </c>
      <c r="I23" s="220">
        <f>SUM(I11:I22)</f>
        <v>13910.810000000001</v>
      </c>
      <c r="J23" s="221">
        <v>4.2599999999999999E-2</v>
      </c>
      <c r="K23" s="219"/>
      <c r="L23" s="220">
        <f>SUM(L11:L22)</f>
        <v>16493.5</v>
      </c>
      <c r="M23" s="220">
        <f>SUM(M11:M22)</f>
        <v>16245.760000000002</v>
      </c>
      <c r="N23" s="221">
        <v>4.2599999999999999E-2</v>
      </c>
      <c r="O23" s="219"/>
      <c r="P23" s="220">
        <f>SUM(P11:P22)</f>
        <v>17118.5</v>
      </c>
      <c r="Q23" s="220">
        <f>SUM(Q11:Q22)</f>
        <v>15678.41</v>
      </c>
      <c r="R23" s="221">
        <v>4.2599999999999999E-2</v>
      </c>
      <c r="S23" s="219"/>
      <c r="T23" s="220">
        <f>SUM(T11:T22)</f>
        <v>17033</v>
      </c>
      <c r="U23" s="220">
        <f>SUM(U11:U22)</f>
        <v>15610.349999999999</v>
      </c>
      <c r="V23" s="221">
        <v>4.2599999999999999E-2</v>
      </c>
      <c r="W23" s="219"/>
      <c r="X23" s="220">
        <f>SUM(X11:X22)</f>
        <v>17505.5</v>
      </c>
      <c r="Y23" s="220">
        <f>SUM(Y11:Y22)</f>
        <v>15418.16</v>
      </c>
      <c r="Z23" s="222">
        <f>(X23-T23)/T23</f>
        <v>2.7740268889802147E-2</v>
      </c>
      <c r="AA23" s="219"/>
      <c r="AB23" s="220">
        <f>SUM(AB11:AB22)</f>
        <v>18254.5</v>
      </c>
      <c r="AC23" s="220">
        <f>SUM(AC11:AC22)</f>
        <v>16109.06</v>
      </c>
      <c r="AD23" s="221">
        <f>(AB23-X23)/X23</f>
        <v>4.2786552797692154E-2</v>
      </c>
      <c r="AE23" s="219"/>
      <c r="AF23" s="220">
        <f>SUM(AF11:AF22)</f>
        <v>18776.23</v>
      </c>
      <c r="AG23" s="220">
        <f>SUM(AG11:AG22)</f>
        <v>18776.23</v>
      </c>
      <c r="AH23" s="220">
        <f>SUM(AH11:AH22)</f>
        <v>16741.39</v>
      </c>
      <c r="AI23" s="221">
        <f t="shared" si="0"/>
        <v>2.8580897860801421E-2</v>
      </c>
      <c r="AJ23" s="221"/>
      <c r="AK23" s="401">
        <f>SUM(AK11:AK22)</f>
        <v>18767.330000000002</v>
      </c>
      <c r="AL23" s="401">
        <f>SUM(AL11:AL22)</f>
        <v>12405.359999999999</v>
      </c>
      <c r="AM23" s="221">
        <f t="shared" si="1"/>
        <v>-4.7400356727616872E-4</v>
      </c>
      <c r="AN23" s="219"/>
      <c r="AO23" s="401">
        <f>SUM(AO11:AO22)</f>
        <v>19771.830000000002</v>
      </c>
      <c r="AP23" s="220">
        <f>SUM(AP11:AP22)</f>
        <v>1004.5</v>
      </c>
      <c r="AQ23" s="221">
        <f>(AO23-AK23)/AK23</f>
        <v>5.3523863010881141E-2</v>
      </c>
      <c r="AR23" s="219"/>
    </row>
    <row r="24" spans="1:44" s="211" customFormat="1" x14ac:dyDescent="0.25">
      <c r="D24" s="112"/>
      <c r="E24" s="112"/>
      <c r="F24" s="216"/>
      <c r="G24" s="213"/>
      <c r="H24" s="112"/>
      <c r="I24" s="112"/>
      <c r="J24" s="216"/>
      <c r="K24" s="213"/>
      <c r="L24" s="112"/>
      <c r="M24" s="112"/>
      <c r="N24" s="216"/>
      <c r="O24" s="213"/>
      <c r="P24" s="112"/>
      <c r="Q24" s="112"/>
      <c r="R24" s="216"/>
      <c r="S24" s="213"/>
      <c r="T24" s="112"/>
      <c r="U24" s="112"/>
      <c r="V24" s="216"/>
      <c r="W24" s="213"/>
      <c r="X24" s="112"/>
      <c r="Y24" s="112"/>
      <c r="Z24" s="216"/>
      <c r="AA24" s="213"/>
      <c r="AB24" s="112"/>
      <c r="AC24" s="112"/>
      <c r="AD24" s="216"/>
      <c r="AE24" s="213"/>
      <c r="AF24" s="112"/>
      <c r="AG24" s="112"/>
      <c r="AH24" s="112"/>
      <c r="AI24" s="216"/>
      <c r="AJ24" s="216"/>
      <c r="AK24" s="112"/>
      <c r="AL24" s="112"/>
      <c r="AM24" s="396"/>
      <c r="AN24" s="397"/>
      <c r="AO24" s="112"/>
      <c r="AP24" s="112"/>
      <c r="AQ24" s="396"/>
    </row>
    <row r="25" spans="1:44" s="114" customFormat="1" ht="12.75" x14ac:dyDescent="0.2">
      <c r="A25" s="228"/>
      <c r="B25" s="228"/>
      <c r="C25" s="233" t="s">
        <v>280</v>
      </c>
      <c r="D25" s="230">
        <f>D8+D23</f>
        <v>65281</v>
      </c>
      <c r="E25" s="230">
        <f>E8+E23</f>
        <v>64116.65</v>
      </c>
      <c r="F25" s="231">
        <v>0.06</v>
      </c>
      <c r="G25" s="228"/>
      <c r="H25" s="230">
        <f>H8+H23</f>
        <v>68766</v>
      </c>
      <c r="I25" s="230">
        <f>I8+I23</f>
        <v>66856.81</v>
      </c>
      <c r="J25" s="231">
        <v>0.06</v>
      </c>
      <c r="K25" s="228"/>
      <c r="L25" s="230">
        <f>L8+L23</f>
        <v>72892.989999999991</v>
      </c>
      <c r="M25" s="230">
        <f>M8+M23</f>
        <v>72645.22</v>
      </c>
      <c r="N25" s="231">
        <v>0.06</v>
      </c>
      <c r="O25" s="228"/>
      <c r="P25" s="230">
        <f>P8+P23</f>
        <v>76843.13</v>
      </c>
      <c r="Q25" s="230">
        <f>Q8+Q23</f>
        <v>76274.11</v>
      </c>
      <c r="R25" s="231">
        <v>0.06</v>
      </c>
      <c r="S25" s="228"/>
      <c r="T25" s="230">
        <f>T8+T23</f>
        <v>79826.989999999991</v>
      </c>
      <c r="U25" s="230">
        <f>U8+U23</f>
        <v>78404.25</v>
      </c>
      <c r="V25" s="231">
        <v>0.06</v>
      </c>
      <c r="W25" s="228"/>
      <c r="X25" s="230">
        <f>X8+X23</f>
        <v>83657.88</v>
      </c>
      <c r="Y25" s="230">
        <f>Y8+Y23</f>
        <v>81570.540000000008</v>
      </c>
      <c r="Z25" s="231">
        <f>(X25-T25)/T25</f>
        <v>4.7989909177334811E-2</v>
      </c>
      <c r="AA25" s="228"/>
      <c r="AB25" s="230">
        <f>AB8+AB23</f>
        <v>88319.95</v>
      </c>
      <c r="AC25" s="230">
        <f>AC8+AC23</f>
        <v>86766.01</v>
      </c>
      <c r="AD25" s="231">
        <f>(AB25-X25)/X25</f>
        <v>5.5727804720846284E-2</v>
      </c>
      <c r="AE25" s="228"/>
      <c r="AF25" s="230">
        <f>AF8+AF23</f>
        <v>97291.56</v>
      </c>
      <c r="AG25" s="382">
        <f>AG8+AG23</f>
        <v>104201.53</v>
      </c>
      <c r="AH25" s="230">
        <f>AH8+AH23</f>
        <v>102166.69</v>
      </c>
      <c r="AI25" s="231">
        <f t="shared" si="0"/>
        <v>0.17981871592997961</v>
      </c>
      <c r="AJ25" s="231"/>
      <c r="AK25" s="402">
        <f>AK8+AK23</f>
        <v>109752.31999999999</v>
      </c>
      <c r="AL25" s="402">
        <f>AL8+AL23</f>
        <v>56449.95</v>
      </c>
      <c r="AM25" s="231">
        <f t="shared" si="1"/>
        <v>5.3269755252154105E-2</v>
      </c>
      <c r="AN25" s="228"/>
      <c r="AO25" s="230">
        <f>AO8+AO23</f>
        <v>116015.841</v>
      </c>
      <c r="AP25" s="230">
        <f>AP8+AP23</f>
        <v>6263.5210000000116</v>
      </c>
      <c r="AQ25" s="231">
        <f>(AO25-AK25)/AK25</f>
        <v>5.706959998658806E-2</v>
      </c>
      <c r="AR25" s="233"/>
    </row>
    <row r="26" spans="1:44" x14ac:dyDescent="0.25">
      <c r="D26" s="120"/>
      <c r="H26" s="120"/>
      <c r="L26" s="120"/>
      <c r="P26" s="120"/>
      <c r="T26" s="120"/>
      <c r="X26" s="120"/>
      <c r="AB26" s="120"/>
      <c r="AF26" s="120"/>
      <c r="AG26" s="120"/>
      <c r="AK26" s="403"/>
    </row>
    <row r="27" spans="1:44" s="111" customFormat="1" thickBot="1" x14ac:dyDescent="0.25">
      <c r="C27" s="111" t="s">
        <v>281</v>
      </c>
      <c r="D27" s="122"/>
      <c r="E27" s="121">
        <f>D25-E25</f>
        <v>1164.3499999999985</v>
      </c>
      <c r="G27" s="118"/>
      <c r="H27" s="122"/>
      <c r="I27" s="121">
        <f>H25-I25</f>
        <v>1909.1900000000023</v>
      </c>
      <c r="K27" s="118"/>
      <c r="L27" s="122"/>
      <c r="M27" s="121">
        <f>L25-M25</f>
        <v>247.76999999998952</v>
      </c>
      <c r="O27" s="118"/>
      <c r="P27" s="122"/>
      <c r="Q27" s="121">
        <f>P25-Q25</f>
        <v>569.02000000000407</v>
      </c>
      <c r="S27" s="118"/>
      <c r="T27" s="122"/>
      <c r="U27" s="121">
        <f>T25-U25</f>
        <v>1422.7399999999907</v>
      </c>
      <c r="W27" s="118"/>
      <c r="X27" s="122"/>
      <c r="Y27" s="121">
        <f>X25-Y25</f>
        <v>2087.3399999999965</v>
      </c>
      <c r="AA27" s="118"/>
      <c r="AB27" s="122"/>
      <c r="AC27" s="121">
        <f>AB25-AC25</f>
        <v>1553.9400000000023</v>
      </c>
      <c r="AE27" s="118"/>
      <c r="AF27" s="122"/>
      <c r="AG27" s="122"/>
      <c r="AH27" s="121">
        <f>AG25-AH25</f>
        <v>2034.8399999999965</v>
      </c>
      <c r="AK27" s="122"/>
      <c r="AL27" s="121">
        <f>AK25-AL25</f>
        <v>53302.369999999995</v>
      </c>
      <c r="AN27" s="118"/>
      <c r="AO27" s="123"/>
      <c r="AP27" s="123"/>
    </row>
    <row r="28" spans="1:44" ht="14.25" thickTop="1" x14ac:dyDescent="0.25">
      <c r="D28" s="120"/>
      <c r="F28" s="216"/>
      <c r="H28" s="120"/>
      <c r="J28" s="216"/>
      <c r="L28" s="120"/>
      <c r="N28" s="216"/>
      <c r="P28" s="120"/>
      <c r="R28" s="216"/>
      <c r="T28" s="120"/>
      <c r="V28" s="80"/>
      <c r="X28" s="120"/>
      <c r="AB28" s="120"/>
      <c r="AF28" s="120"/>
      <c r="AG28" s="120"/>
      <c r="AK28" s="403"/>
      <c r="AO28" s="240" t="s">
        <v>1195</v>
      </c>
      <c r="AP28" s="241"/>
      <c r="AQ28" s="242"/>
      <c r="AR28" s="211"/>
    </row>
    <row r="29" spans="1:44" x14ac:dyDescent="0.25">
      <c r="F29" s="216"/>
      <c r="J29" s="216"/>
      <c r="N29" s="216"/>
      <c r="R29" s="216"/>
      <c r="V29" s="80"/>
      <c r="AO29" s="243" t="s">
        <v>313</v>
      </c>
      <c r="AP29" s="5"/>
      <c r="AQ29" s="299">
        <f>AO8*0.0145</f>
        <v>1395.5381595000001</v>
      </c>
      <c r="AR29" s="211"/>
    </row>
    <row r="30" spans="1:44" ht="13.5" customHeight="1" x14ac:dyDescent="0.25">
      <c r="AO30" s="210" t="s">
        <v>314</v>
      </c>
      <c r="AP30" s="5"/>
      <c r="AQ30" s="299">
        <f>AO8*0.0009</f>
        <v>86.6196099</v>
      </c>
      <c r="AR30" s="211"/>
    </row>
    <row r="31" spans="1:44" x14ac:dyDescent="0.25">
      <c r="AO31" s="210" t="s">
        <v>315</v>
      </c>
      <c r="AP31" s="5"/>
      <c r="AQ31" s="299">
        <f>AO8*0.003</f>
        <v>288.732033</v>
      </c>
      <c r="AR31" s="211"/>
    </row>
    <row r="32" spans="1:44" x14ac:dyDescent="0.25">
      <c r="AO32" s="210" t="s">
        <v>316</v>
      </c>
      <c r="AP32" s="5"/>
      <c r="AQ32" s="299">
        <f>'County Retirement'!G8</f>
        <v>11770.917025972894</v>
      </c>
      <c r="AR32" s="211"/>
    </row>
    <row r="33" spans="4:44" x14ac:dyDescent="0.25">
      <c r="AO33" s="210" t="s">
        <v>317</v>
      </c>
      <c r="AP33" s="5"/>
      <c r="AQ33" s="302">
        <f>'Health Ins'!L15</f>
        <v>25272</v>
      </c>
      <c r="AR33" s="211"/>
    </row>
    <row r="34" spans="4:44" x14ac:dyDescent="0.25">
      <c r="AO34" s="235"/>
      <c r="AP34" s="237"/>
      <c r="AQ34" s="301">
        <f>SUM(AQ29:AQ33)</f>
        <v>38813.806828372894</v>
      </c>
      <c r="AR34" s="211"/>
    </row>
    <row r="35" spans="4:44" x14ac:dyDescent="0.25">
      <c r="D35" s="120"/>
      <c r="H35" s="120"/>
      <c r="L35" s="120"/>
      <c r="P35" s="120"/>
      <c r="T35" s="120"/>
      <c r="X35" s="120"/>
      <c r="AB35" s="120"/>
      <c r="AF35" s="120"/>
      <c r="AG35" s="120"/>
      <c r="AK35" s="403"/>
    </row>
    <row r="36" spans="4:44" x14ac:dyDescent="0.25">
      <c r="D36" s="120"/>
      <c r="H36" s="120"/>
      <c r="L36" s="120"/>
      <c r="P36" s="120"/>
      <c r="T36" s="120"/>
      <c r="X36" s="120"/>
      <c r="AB36" s="120"/>
      <c r="AF36" s="120"/>
      <c r="AG36" s="120"/>
      <c r="AK36" s="403"/>
    </row>
    <row r="37" spans="4:44" x14ac:dyDescent="0.25">
      <c r="D37" s="120"/>
      <c r="H37" s="120"/>
      <c r="L37" s="120"/>
      <c r="P37" s="120"/>
      <c r="T37" s="120"/>
      <c r="X37" s="120"/>
      <c r="AB37" s="120"/>
      <c r="AF37" s="120"/>
      <c r="AG37" s="120"/>
      <c r="AK37" s="403"/>
    </row>
    <row r="38" spans="4:44" x14ac:dyDescent="0.25">
      <c r="D38" s="120"/>
      <c r="H38" s="120"/>
      <c r="L38" s="120"/>
      <c r="P38" s="120"/>
      <c r="T38" s="120"/>
      <c r="X38" s="120"/>
      <c r="AB38" s="120"/>
      <c r="AF38" s="120"/>
      <c r="AG38" s="120"/>
      <c r="AK38" s="403"/>
    </row>
    <row r="39" spans="4:44" x14ac:dyDescent="0.25">
      <c r="D39" s="120"/>
      <c r="H39" s="120"/>
      <c r="L39" s="120"/>
      <c r="P39" s="120"/>
      <c r="T39" s="120"/>
      <c r="X39" s="120"/>
      <c r="AB39" s="120"/>
      <c r="AF39" s="120"/>
      <c r="AG39" s="120"/>
      <c r="AK39" s="403"/>
    </row>
    <row r="40" spans="4:44" x14ac:dyDescent="0.25">
      <c r="D40" s="120"/>
      <c r="H40" s="120"/>
      <c r="L40" s="120"/>
      <c r="P40" s="120"/>
      <c r="T40" s="120"/>
      <c r="X40" s="120"/>
      <c r="AB40" s="120"/>
      <c r="AF40" s="120"/>
      <c r="AG40" s="120"/>
      <c r="AK40" s="403"/>
    </row>
    <row r="41" spans="4:44" x14ac:dyDescent="0.25">
      <c r="D41" s="120"/>
      <c r="H41" s="120"/>
      <c r="L41" s="120"/>
      <c r="P41" s="120"/>
      <c r="T41" s="120"/>
      <c r="X41" s="120"/>
      <c r="AB41" s="120"/>
      <c r="AF41" s="120"/>
      <c r="AG41" s="120"/>
      <c r="AK41" s="403"/>
    </row>
    <row r="42" spans="4:44" x14ac:dyDescent="0.25">
      <c r="D42" s="120"/>
      <c r="H42" s="120"/>
      <c r="L42" s="120"/>
      <c r="P42" s="120"/>
      <c r="T42" s="120"/>
      <c r="X42" s="120"/>
      <c r="AB42" s="120"/>
      <c r="AF42" s="120"/>
      <c r="AG42" s="120"/>
      <c r="AK42" s="403"/>
    </row>
    <row r="43" spans="4:44" x14ac:dyDescent="0.25">
      <c r="D43" s="120"/>
      <c r="H43" s="120"/>
      <c r="L43" s="120"/>
      <c r="P43" s="120"/>
      <c r="T43" s="120"/>
      <c r="X43" s="120"/>
      <c r="AB43" s="120"/>
      <c r="AF43" s="120"/>
      <c r="AG43" s="120"/>
      <c r="AK43" s="403"/>
    </row>
    <row r="44" spans="4:44" x14ac:dyDescent="0.25">
      <c r="D44" s="120"/>
      <c r="H44" s="120"/>
      <c r="L44" s="120"/>
      <c r="P44" s="120"/>
      <c r="T44" s="120"/>
      <c r="X44" s="120"/>
      <c r="AB44" s="120"/>
      <c r="AF44" s="120"/>
      <c r="AG44" s="120"/>
      <c r="AK44" s="403"/>
    </row>
    <row r="45" spans="4:44" x14ac:dyDescent="0.25">
      <c r="D45" s="120"/>
      <c r="H45" s="120"/>
      <c r="L45" s="120"/>
      <c r="P45" s="120"/>
      <c r="T45" s="120"/>
      <c r="X45" s="120"/>
      <c r="AB45" s="120"/>
      <c r="AF45" s="120"/>
      <c r="AG45" s="120"/>
      <c r="AK45" s="403"/>
    </row>
    <row r="46" spans="4:44" x14ac:dyDescent="0.25">
      <c r="D46" s="120"/>
      <c r="H46" s="120"/>
      <c r="L46" s="120"/>
      <c r="P46" s="120"/>
      <c r="T46" s="120"/>
      <c r="X46" s="120"/>
      <c r="AB46" s="120"/>
      <c r="AF46" s="120"/>
      <c r="AG46" s="120"/>
      <c r="AK46" s="403"/>
    </row>
    <row r="47" spans="4:44" x14ac:dyDescent="0.25">
      <c r="D47" s="120"/>
      <c r="H47" s="120"/>
      <c r="L47" s="120"/>
      <c r="P47" s="120"/>
      <c r="T47" s="120"/>
      <c r="X47" s="120"/>
      <c r="AB47" s="120"/>
      <c r="AF47" s="120"/>
      <c r="AG47" s="120"/>
      <c r="AK47" s="403"/>
    </row>
    <row r="48" spans="4:44"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1" orientation="landscape" r:id="rId1"/>
  <headerFooter alignWithMargins="0">
    <oddHeader>&amp;C&amp;"-,Bold"Proposed Budget &amp; Analysis Report for FY20</oddHeader>
    <oddFooter>&amp;C&amp;D&amp;T&amp;R&amp;A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3:AR372"/>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40.85546875" style="161" customWidth="1"/>
    <col min="4" max="4" width="13.28515625" style="211" hidden="1" customWidth="1"/>
    <col min="5" max="5" width="11.42578125" style="211" hidden="1" customWidth="1"/>
    <col min="6" max="6" width="7.7109375" style="211" hidden="1" customWidth="1"/>
    <col min="7" max="7" width="2" style="213" hidden="1" customWidth="1"/>
    <col min="8" max="8" width="13.28515625" style="211" hidden="1" customWidth="1"/>
    <col min="9" max="9" width="11.42578125" style="211" hidden="1" customWidth="1"/>
    <col min="10" max="10" width="7.7109375" style="211" hidden="1" customWidth="1"/>
    <col min="11" max="11" width="2" style="213" hidden="1" customWidth="1"/>
    <col min="12" max="12" width="13.28515625" style="211" hidden="1" customWidth="1"/>
    <col min="13" max="13" width="11.42578125" style="211" hidden="1" customWidth="1"/>
    <col min="14" max="14" width="7.7109375" style="211" hidden="1" customWidth="1"/>
    <col min="15" max="15" width="2" style="213" hidden="1" customWidth="1"/>
    <col min="16" max="16" width="13.28515625" style="211" hidden="1" customWidth="1"/>
    <col min="17" max="17" width="11.42578125" style="211" hidden="1" customWidth="1"/>
    <col min="18" max="18" width="7.7109375" style="211" hidden="1" customWidth="1"/>
    <col min="19" max="19" width="2" style="213" hidden="1" customWidth="1"/>
    <col min="20" max="20" width="13.28515625" style="161" hidden="1" customWidth="1"/>
    <col min="21" max="21" width="11.42578125" style="161" hidden="1" customWidth="1"/>
    <col min="22" max="22" width="7.7109375" style="161" hidden="1" customWidth="1"/>
    <col min="23" max="23" width="2" style="103" hidden="1" customWidth="1"/>
    <col min="24" max="25" width="11.5703125" style="161" hidden="1" customWidth="1"/>
    <col min="26" max="26" width="8.28515625" style="161" hidden="1" customWidth="1"/>
    <col min="27" max="27" width="2" style="103" hidden="1" customWidth="1"/>
    <col min="28" max="28" width="11.5703125" style="161" customWidth="1"/>
    <col min="29" max="29" width="11.28515625" style="161" bestFit="1" customWidth="1"/>
    <col min="30" max="30" width="8.28515625" style="161" customWidth="1"/>
    <col min="31" max="31" width="3.85546875" style="213" customWidth="1"/>
    <col min="32" max="32" width="11.5703125" style="211" hidden="1" customWidth="1"/>
    <col min="33" max="34" width="10.5703125" style="211" bestFit="1" customWidth="1"/>
    <col min="35" max="35" width="6.140625" style="211" bestFit="1" customWidth="1"/>
    <col min="36" max="36" width="3.140625" style="161" customWidth="1"/>
    <col min="37" max="38" width="10.5703125" style="394" bestFit="1" customWidth="1"/>
    <col min="39" max="39" width="6.140625" style="394" bestFit="1" customWidth="1"/>
    <col min="40" max="40" width="3.5703125" style="397" customWidth="1"/>
    <col min="41" max="41" width="11.7109375" style="104" customWidth="1"/>
    <col min="42" max="42" width="11.28515625" style="104" bestFit="1" customWidth="1"/>
    <col min="43" max="43" width="9.5703125" style="161" bestFit="1" customWidth="1"/>
    <col min="44" max="44" width="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1661</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8"/>
      <c r="AG6" s="218"/>
      <c r="AH6" s="112"/>
      <c r="AI6" s="216"/>
      <c r="AJ6" s="80"/>
      <c r="AK6" s="112"/>
      <c r="AL6" s="112"/>
      <c r="AM6" s="396"/>
      <c r="AO6" s="138"/>
      <c r="AP6" s="138"/>
      <c r="AQ6" s="80"/>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7"/>
      <c r="AH7" s="225">
        <f>SUM(AH6:AH6)</f>
        <v>0</v>
      </c>
      <c r="AI7" s="226"/>
      <c r="AJ7" s="226"/>
      <c r="AK7" s="225">
        <f>SUM(AK6:AK6)</f>
        <v>0</v>
      </c>
      <c r="AL7" s="225">
        <f>SUM(AL6:AL6)</f>
        <v>0</v>
      </c>
      <c r="AM7" s="226"/>
      <c r="AN7" s="224"/>
      <c r="AO7" s="227"/>
      <c r="AP7" s="225">
        <f>SUM(AP6:AP6)</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8"/>
      <c r="AG8" s="218"/>
      <c r="AH8" s="112"/>
      <c r="AI8" s="216"/>
      <c r="AJ8" s="80"/>
      <c r="AK8" s="112"/>
      <c r="AL8" s="112"/>
      <c r="AM8" s="396"/>
      <c r="AO8" s="138"/>
      <c r="AP8" s="138"/>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8"/>
      <c r="AG9" s="218"/>
      <c r="AH9" s="112"/>
      <c r="AI9" s="216"/>
      <c r="AJ9" s="80"/>
      <c r="AK9" s="112"/>
      <c r="AL9" s="112"/>
      <c r="AM9" s="396"/>
      <c r="AO9" s="138"/>
      <c r="AP9" s="138"/>
      <c r="AQ9" s="80"/>
      <c r="AR9" s="111"/>
    </row>
    <row r="10" spans="1:44" x14ac:dyDescent="0.25">
      <c r="A10" s="161" t="s">
        <v>375</v>
      </c>
      <c r="B10" s="119" t="str">
        <f>MID(A10,14,4)</f>
        <v>5305</v>
      </c>
      <c r="C10" s="161" t="s">
        <v>1722</v>
      </c>
      <c r="D10" s="112">
        <v>55000</v>
      </c>
      <c r="E10" s="112">
        <v>70751.649999999994</v>
      </c>
      <c r="F10" s="216"/>
      <c r="H10" s="112">
        <v>55000</v>
      </c>
      <c r="I10" s="112">
        <v>51266.67</v>
      </c>
      <c r="J10" s="216"/>
      <c r="L10" s="112">
        <v>50000</v>
      </c>
      <c r="M10" s="112">
        <v>53470.03</v>
      </c>
      <c r="N10" s="216"/>
      <c r="P10" s="112">
        <v>48000</v>
      </c>
      <c r="Q10" s="112">
        <v>61380.34</v>
      </c>
      <c r="R10" s="216"/>
      <c r="T10" s="112">
        <v>55000</v>
      </c>
      <c r="U10" s="112">
        <v>19849.009999999998</v>
      </c>
      <c r="V10" s="216"/>
      <c r="W10" s="213"/>
      <c r="X10" s="112">
        <v>55000</v>
      </c>
      <c r="Y10" s="112">
        <v>22810.04</v>
      </c>
      <c r="Z10" s="216"/>
      <c r="AA10" s="213"/>
      <c r="AB10" s="112">
        <v>55000</v>
      </c>
      <c r="AC10" s="112">
        <v>77083.990000000005</v>
      </c>
      <c r="AD10" s="216"/>
      <c r="AF10" s="218">
        <v>55000</v>
      </c>
      <c r="AG10" s="218">
        <v>55000</v>
      </c>
      <c r="AH10" s="112">
        <v>23193.53</v>
      </c>
      <c r="AI10" s="216">
        <f>(AG10-AB10)/AB10</f>
        <v>0</v>
      </c>
      <c r="AJ10" s="80"/>
      <c r="AK10" s="112">
        <v>60000</v>
      </c>
      <c r="AL10" s="112">
        <v>15102.75</v>
      </c>
      <c r="AM10" s="396">
        <f>(AK10-AG10)/AG10</f>
        <v>9.0909090909090912E-2</v>
      </c>
      <c r="AO10" s="113">
        <v>55000</v>
      </c>
      <c r="AP10" s="138">
        <f>AO10-AK10</f>
        <v>-5000</v>
      </c>
      <c r="AQ10" s="396">
        <f>(AO10-AK10)/AK10</f>
        <v>-8.3333333333333329E-2</v>
      </c>
      <c r="AR10" s="166"/>
    </row>
    <row r="11" spans="1:44" x14ac:dyDescent="0.25">
      <c r="A11" s="161" t="s">
        <v>376</v>
      </c>
      <c r="B11" s="119" t="str">
        <f>MID(A11,14,4)</f>
        <v>5306</v>
      </c>
      <c r="C11" s="161" t="s">
        <v>1599</v>
      </c>
      <c r="D11" s="112">
        <v>0</v>
      </c>
      <c r="E11" s="112">
        <v>0</v>
      </c>
      <c r="F11" s="216"/>
      <c r="H11" s="112">
        <v>30</v>
      </c>
      <c r="I11" s="112">
        <v>0</v>
      </c>
      <c r="J11" s="216"/>
      <c r="L11" s="112">
        <v>30</v>
      </c>
      <c r="M11" s="112">
        <v>0</v>
      </c>
      <c r="N11" s="216"/>
      <c r="P11" s="112">
        <v>30</v>
      </c>
      <c r="Q11" s="112">
        <v>0</v>
      </c>
      <c r="R11" s="216"/>
      <c r="T11" s="112">
        <v>30</v>
      </c>
      <c r="U11" s="112">
        <v>0</v>
      </c>
      <c r="V11" s="216"/>
      <c r="W11" s="213"/>
      <c r="X11" s="112">
        <v>30</v>
      </c>
      <c r="Y11" s="112">
        <v>0</v>
      </c>
      <c r="Z11" s="216"/>
      <c r="AA11" s="213"/>
      <c r="AB11" s="112">
        <v>30</v>
      </c>
      <c r="AC11" s="112">
        <v>0</v>
      </c>
      <c r="AD11" s="216"/>
      <c r="AF11" s="112">
        <v>30</v>
      </c>
      <c r="AG11" s="112">
        <v>30</v>
      </c>
      <c r="AH11" s="112">
        <v>0</v>
      </c>
      <c r="AI11" s="216">
        <f>(AG11-AB11)/AB11</f>
        <v>0</v>
      </c>
      <c r="AJ11" s="80"/>
      <c r="AK11" s="112">
        <v>30</v>
      </c>
      <c r="AL11" s="112">
        <v>0</v>
      </c>
      <c r="AM11" s="396">
        <f>(AK11-AG11)/AG11</f>
        <v>0</v>
      </c>
      <c r="AO11" s="113">
        <v>30</v>
      </c>
      <c r="AP11" s="218">
        <f>AO11-AK11</f>
        <v>0</v>
      </c>
      <c r="AQ11" s="396">
        <f>(AO11-AK11)/AK11</f>
        <v>0</v>
      </c>
      <c r="AR11" s="166"/>
    </row>
    <row r="12" spans="1:44" x14ac:dyDescent="0.25">
      <c r="A12" s="161" t="s">
        <v>377</v>
      </c>
      <c r="B12" s="119" t="str">
        <f>MID(A12,14,4)</f>
        <v>5319</v>
      </c>
      <c r="C12" s="161" t="s">
        <v>1745</v>
      </c>
      <c r="D12" s="112">
        <v>0</v>
      </c>
      <c r="E12" s="112">
        <v>175</v>
      </c>
      <c r="F12" s="216"/>
      <c r="H12" s="112">
        <v>150</v>
      </c>
      <c r="I12" s="112">
        <v>0</v>
      </c>
      <c r="J12" s="216"/>
      <c r="L12" s="112">
        <v>200</v>
      </c>
      <c r="M12" s="112">
        <v>0</v>
      </c>
      <c r="N12" s="216"/>
      <c r="P12" s="112">
        <v>200</v>
      </c>
      <c r="Q12" s="112">
        <v>0</v>
      </c>
      <c r="R12" s="216"/>
      <c r="T12" s="112">
        <v>150</v>
      </c>
      <c r="U12" s="112">
        <v>0</v>
      </c>
      <c r="V12" s="216"/>
      <c r="W12" s="213"/>
      <c r="X12" s="112">
        <v>150</v>
      </c>
      <c r="Y12" s="112">
        <v>0</v>
      </c>
      <c r="Z12" s="216"/>
      <c r="AA12" s="213"/>
      <c r="AB12" s="112">
        <v>150</v>
      </c>
      <c r="AC12" s="112">
        <v>0</v>
      </c>
      <c r="AD12" s="216"/>
      <c r="AF12" s="112">
        <v>150</v>
      </c>
      <c r="AG12" s="112">
        <v>150</v>
      </c>
      <c r="AH12" s="112">
        <v>0</v>
      </c>
      <c r="AI12" s="216">
        <f>(AG12-AB12)/AB12</f>
        <v>0</v>
      </c>
      <c r="AJ12" s="80"/>
      <c r="AK12" s="112">
        <v>150</v>
      </c>
      <c r="AL12" s="112">
        <v>0</v>
      </c>
      <c r="AM12" s="396">
        <f>(AK12-AG12)/AG12</f>
        <v>0</v>
      </c>
      <c r="AO12" s="113">
        <v>150</v>
      </c>
      <c r="AP12" s="218">
        <f>AO12-AK12</f>
        <v>0</v>
      </c>
      <c r="AQ12" s="396">
        <f>(AO12-AK12)/AK12</f>
        <v>0</v>
      </c>
      <c r="AR12" s="166"/>
    </row>
    <row r="13" spans="1:44" s="114" customFormat="1" x14ac:dyDescent="0.25">
      <c r="A13" s="219"/>
      <c r="B13" s="219"/>
      <c r="C13" s="219" t="s">
        <v>279</v>
      </c>
      <c r="D13" s="220">
        <f>SUM(D10:D12)</f>
        <v>55000</v>
      </c>
      <c r="E13" s="220">
        <f>SUM(E10:E12)</f>
        <v>70926.649999999994</v>
      </c>
      <c r="F13" s="221">
        <v>-8.9700000000000002E-2</v>
      </c>
      <c r="G13" s="219"/>
      <c r="H13" s="220">
        <f>SUM(H10:H12)</f>
        <v>55180</v>
      </c>
      <c r="I13" s="220">
        <f>SUM(I10:I12)</f>
        <v>51266.67</v>
      </c>
      <c r="J13" s="221">
        <v>-8.9700000000000002E-2</v>
      </c>
      <c r="K13" s="219"/>
      <c r="L13" s="220">
        <f>SUM(L10:L12)</f>
        <v>50230</v>
      </c>
      <c r="M13" s="220">
        <f>SUM(M10:M12)</f>
        <v>53470.03</v>
      </c>
      <c r="N13" s="221">
        <v>-8.9700000000000002E-2</v>
      </c>
      <c r="O13" s="219"/>
      <c r="P13" s="220">
        <f>SUM(P10:P12)</f>
        <v>48230</v>
      </c>
      <c r="Q13" s="220">
        <f>SUM(Q10:Q12)</f>
        <v>61380.34</v>
      </c>
      <c r="R13" s="221">
        <v>-8.9700000000000002E-2</v>
      </c>
      <c r="S13" s="219"/>
      <c r="T13" s="220">
        <f>SUM(T10:T12)</f>
        <v>55180</v>
      </c>
      <c r="U13" s="220">
        <f>SUM(U10:U12)</f>
        <v>19849.009999999998</v>
      </c>
      <c r="V13" s="221">
        <v>-8.9700000000000002E-2</v>
      </c>
      <c r="W13" s="219"/>
      <c r="X13" s="220">
        <f>SUM(X10:X12)</f>
        <v>55180</v>
      </c>
      <c r="Y13" s="220">
        <f>SUM(Y10:Y12)</f>
        <v>22810.04</v>
      </c>
      <c r="Z13" s="222">
        <f>(X13-T13)/T13</f>
        <v>0</v>
      </c>
      <c r="AA13" s="219"/>
      <c r="AB13" s="220">
        <f>SUM(AB10:AB12)</f>
        <v>55180</v>
      </c>
      <c r="AC13" s="220">
        <f>SUM(AC10:AC12)</f>
        <v>77083.990000000005</v>
      </c>
      <c r="AD13" s="221">
        <f>(AB13-X13)/X13</f>
        <v>0</v>
      </c>
      <c r="AE13" s="219"/>
      <c r="AF13" s="220">
        <f>SUM(AF10:AF12)</f>
        <v>55180</v>
      </c>
      <c r="AG13" s="220">
        <f>SUM(AG10:AG12)</f>
        <v>55180</v>
      </c>
      <c r="AH13" s="220">
        <f>SUM(AH10:AH12)</f>
        <v>23193.53</v>
      </c>
      <c r="AI13" s="221">
        <f>(AG13-AB13)/AB13</f>
        <v>0</v>
      </c>
      <c r="AJ13" s="221"/>
      <c r="AK13" s="401">
        <f>SUM(AK10:AK12)</f>
        <v>60180</v>
      </c>
      <c r="AL13" s="401">
        <f>SUM(AL10:AL12)</f>
        <v>15102.75</v>
      </c>
      <c r="AM13" s="221">
        <f>(AK13-AG13)/AG13</f>
        <v>9.0612540775643347E-2</v>
      </c>
      <c r="AN13" s="219"/>
      <c r="AO13" s="220">
        <f>SUM(AO10:AO12)</f>
        <v>55180</v>
      </c>
      <c r="AP13" s="220">
        <f>AO13-AK13</f>
        <v>-5000</v>
      </c>
      <c r="AQ13" s="221">
        <f>(AO13-AK13)/AK13</f>
        <v>-8.3084081090063142E-2</v>
      </c>
      <c r="AR13" s="219"/>
    </row>
    <row r="14" spans="1:44" s="211" customFormat="1" x14ac:dyDescent="0.25">
      <c r="D14" s="112"/>
      <c r="E14" s="112"/>
      <c r="F14" s="216"/>
      <c r="G14" s="213"/>
      <c r="H14" s="112"/>
      <c r="I14" s="112"/>
      <c r="J14" s="216"/>
      <c r="K14" s="213"/>
      <c r="L14" s="112"/>
      <c r="M14" s="112"/>
      <c r="N14" s="216"/>
      <c r="O14" s="213"/>
      <c r="P14" s="112"/>
      <c r="Q14" s="112"/>
      <c r="R14" s="216"/>
      <c r="S14" s="213"/>
      <c r="T14" s="112"/>
      <c r="U14" s="112"/>
      <c r="V14" s="216"/>
      <c r="W14" s="213"/>
      <c r="X14" s="112"/>
      <c r="Y14" s="112"/>
      <c r="Z14" s="216"/>
      <c r="AA14" s="213"/>
      <c r="AB14" s="112"/>
      <c r="AC14" s="112"/>
      <c r="AD14" s="216"/>
      <c r="AE14" s="213"/>
      <c r="AF14" s="112"/>
      <c r="AG14" s="112"/>
      <c r="AH14" s="112"/>
      <c r="AI14" s="216"/>
      <c r="AJ14" s="216"/>
      <c r="AK14" s="112"/>
      <c r="AL14" s="112"/>
      <c r="AM14" s="396"/>
      <c r="AN14" s="397"/>
      <c r="AO14" s="112"/>
      <c r="AP14" s="112"/>
      <c r="AQ14" s="396"/>
    </row>
    <row r="15" spans="1:44" s="114" customFormat="1" ht="12.75" x14ac:dyDescent="0.2">
      <c r="A15" s="228"/>
      <c r="B15" s="228"/>
      <c r="C15" s="233" t="s">
        <v>280</v>
      </c>
      <c r="D15" s="230">
        <f>D7+D13</f>
        <v>55000</v>
      </c>
      <c r="E15" s="230">
        <f>E7+E13</f>
        <v>70926.649999999994</v>
      </c>
      <c r="F15" s="231">
        <v>-8.9700000000000002E-2</v>
      </c>
      <c r="G15" s="228"/>
      <c r="H15" s="230">
        <f>H7+H13</f>
        <v>55180</v>
      </c>
      <c r="I15" s="230">
        <f>I7+I13</f>
        <v>51266.67</v>
      </c>
      <c r="J15" s="231">
        <v>-8.9700000000000002E-2</v>
      </c>
      <c r="K15" s="228"/>
      <c r="L15" s="230">
        <f>L7+L13</f>
        <v>50230</v>
      </c>
      <c r="M15" s="230">
        <f>M7+M13</f>
        <v>53470.03</v>
      </c>
      <c r="N15" s="231">
        <v>-8.9700000000000002E-2</v>
      </c>
      <c r="O15" s="228"/>
      <c r="P15" s="230">
        <f>P7+P13</f>
        <v>48230</v>
      </c>
      <c r="Q15" s="230">
        <f>Q7+Q13</f>
        <v>61380.34</v>
      </c>
      <c r="R15" s="231">
        <v>-8.9700000000000002E-2</v>
      </c>
      <c r="S15" s="228"/>
      <c r="T15" s="230">
        <f>T7+T13</f>
        <v>55180</v>
      </c>
      <c r="U15" s="230">
        <f>U7+U13</f>
        <v>19849.009999999998</v>
      </c>
      <c r="V15" s="231">
        <v>-8.9700000000000002E-2</v>
      </c>
      <c r="W15" s="228"/>
      <c r="X15" s="230">
        <f>X7+X13</f>
        <v>55180</v>
      </c>
      <c r="Y15" s="230">
        <f>Y7+Y13</f>
        <v>22810.04</v>
      </c>
      <c r="Z15" s="231">
        <f>(X15-T15)/T15</f>
        <v>0</v>
      </c>
      <c r="AA15" s="228"/>
      <c r="AB15" s="230">
        <f>AB7+AB13</f>
        <v>55180</v>
      </c>
      <c r="AC15" s="230">
        <f>AC7+AC13</f>
        <v>77083.990000000005</v>
      </c>
      <c r="AD15" s="231">
        <f>(AB15-X15)/X15</f>
        <v>0</v>
      </c>
      <c r="AE15" s="228"/>
      <c r="AF15" s="230">
        <f>AF7+AF13</f>
        <v>55180</v>
      </c>
      <c r="AG15" s="230">
        <f>AG7+AG13</f>
        <v>55180</v>
      </c>
      <c r="AH15" s="230">
        <f>AH7+AH13</f>
        <v>23193.53</v>
      </c>
      <c r="AI15" s="231">
        <f>(AG15-AB15)/AB15</f>
        <v>0</v>
      </c>
      <c r="AJ15" s="231"/>
      <c r="AK15" s="402">
        <f>AK7+AK13</f>
        <v>60180</v>
      </c>
      <c r="AL15" s="402">
        <f>AL7+AL13</f>
        <v>15102.75</v>
      </c>
      <c r="AM15" s="231">
        <f>(AK15-AG15)/AG15</f>
        <v>9.0612540775643347E-2</v>
      </c>
      <c r="AN15" s="228"/>
      <c r="AO15" s="230">
        <f>AO7+AO13</f>
        <v>55180</v>
      </c>
      <c r="AP15" s="230">
        <f>AO15-AK15</f>
        <v>-5000</v>
      </c>
      <c r="AQ15" s="231">
        <f>(AO15-AK15)/AK15</f>
        <v>-8.3084081090063142E-2</v>
      </c>
      <c r="AR15" s="233"/>
    </row>
    <row r="16" spans="1:44" x14ac:dyDescent="0.25">
      <c r="D16" s="120"/>
      <c r="H16" s="120"/>
      <c r="L16" s="120"/>
      <c r="P16" s="120"/>
      <c r="T16" s="120"/>
      <c r="X16" s="120"/>
      <c r="AB16" s="120"/>
      <c r="AF16" s="120"/>
      <c r="AG16" s="120"/>
      <c r="AK16" s="403"/>
      <c r="AQ16" s="211"/>
    </row>
    <row r="17" spans="3:42" s="111" customFormat="1" thickBot="1" x14ac:dyDescent="0.25">
      <c r="C17" s="111" t="s">
        <v>281</v>
      </c>
      <c r="D17" s="122"/>
      <c r="E17" s="121">
        <f>D15-E15</f>
        <v>-15926.649999999994</v>
      </c>
      <c r="G17" s="118"/>
      <c r="H17" s="122"/>
      <c r="I17" s="121">
        <f>H15-I15</f>
        <v>3913.3300000000017</v>
      </c>
      <c r="K17" s="118"/>
      <c r="L17" s="122"/>
      <c r="M17" s="121">
        <f>L15-M15</f>
        <v>-3240.0299999999988</v>
      </c>
      <c r="O17" s="118"/>
      <c r="P17" s="122"/>
      <c r="Q17" s="121">
        <f>P15-Q15</f>
        <v>-13150.339999999997</v>
      </c>
      <c r="S17" s="118"/>
      <c r="T17" s="122"/>
      <c r="U17" s="121">
        <f>T15-U15</f>
        <v>35330.990000000005</v>
      </c>
      <c r="W17" s="118"/>
      <c r="X17" s="122"/>
      <c r="Y17" s="121">
        <f>X15-Y15</f>
        <v>32369.96</v>
      </c>
      <c r="AA17" s="118"/>
      <c r="AB17" s="122"/>
      <c r="AC17" s="121">
        <f>AB15-AC15</f>
        <v>-21903.990000000005</v>
      </c>
      <c r="AE17" s="118"/>
      <c r="AF17" s="122"/>
      <c r="AG17" s="122"/>
      <c r="AH17" s="121">
        <f>AG15-AH15</f>
        <v>31986.47</v>
      </c>
      <c r="AK17" s="122"/>
      <c r="AL17" s="121">
        <f>AK15-AL15</f>
        <v>45077.25</v>
      </c>
      <c r="AN17" s="118"/>
      <c r="AO17" s="123"/>
      <c r="AP17" s="123"/>
    </row>
    <row r="18" spans="3:42" ht="14.25" thickTop="1" x14ac:dyDescent="0.25">
      <c r="D18" s="120"/>
      <c r="F18" s="216"/>
      <c r="H18" s="120"/>
      <c r="J18" s="216"/>
      <c r="L18" s="120"/>
      <c r="N18" s="216"/>
      <c r="P18" s="120"/>
      <c r="R18" s="216"/>
      <c r="T18" s="120"/>
      <c r="V18" s="80"/>
      <c r="X18" s="120"/>
      <c r="AB18" s="120"/>
      <c r="AF18" s="120"/>
      <c r="AG18" s="120"/>
      <c r="AK18" s="403"/>
    </row>
    <row r="19" spans="3:42" x14ac:dyDescent="0.25">
      <c r="D19" s="120"/>
      <c r="F19" s="216"/>
      <c r="H19" s="120"/>
      <c r="J19" s="216"/>
      <c r="L19" s="120"/>
      <c r="N19" s="216"/>
      <c r="P19" s="120"/>
      <c r="R19" s="216"/>
      <c r="T19" s="120"/>
      <c r="V19" s="80"/>
      <c r="X19" s="120"/>
      <c r="AB19" s="120"/>
      <c r="AF19" s="120"/>
      <c r="AG19" s="120"/>
      <c r="AK19" s="403"/>
    </row>
    <row r="20" spans="3:42" x14ac:dyDescent="0.25">
      <c r="D20" s="120"/>
      <c r="F20" s="216"/>
      <c r="H20" s="120"/>
      <c r="J20" s="216"/>
      <c r="L20" s="120"/>
      <c r="N20" s="216"/>
      <c r="P20" s="120"/>
      <c r="R20" s="216"/>
      <c r="T20" s="120"/>
      <c r="V20" s="80"/>
      <c r="X20" s="120"/>
      <c r="AB20" s="120"/>
      <c r="AF20" s="120"/>
      <c r="AG20" s="120"/>
      <c r="AK20" s="403"/>
    </row>
    <row r="21" spans="3:42" x14ac:dyDescent="0.25">
      <c r="D21" s="120"/>
      <c r="F21" s="216"/>
      <c r="H21" s="120"/>
      <c r="J21" s="216"/>
      <c r="L21" s="120"/>
      <c r="N21" s="216"/>
      <c r="P21" s="120"/>
      <c r="R21" s="216"/>
      <c r="T21" s="120"/>
      <c r="V21" s="80"/>
      <c r="X21" s="120"/>
      <c r="AB21" s="120"/>
      <c r="AF21" s="120"/>
      <c r="AG21" s="120"/>
      <c r="AK21" s="403"/>
    </row>
    <row r="22" spans="3:42" x14ac:dyDescent="0.25">
      <c r="D22" s="120"/>
      <c r="F22" s="216"/>
      <c r="H22" s="120"/>
      <c r="J22" s="216"/>
      <c r="L22" s="120"/>
      <c r="N22" s="216"/>
      <c r="P22" s="120"/>
      <c r="R22" s="216"/>
      <c r="T22" s="120"/>
      <c r="V22" s="80"/>
      <c r="X22" s="120"/>
      <c r="AB22" s="120"/>
      <c r="AF22" s="120"/>
      <c r="AG22" s="120"/>
      <c r="AK22" s="403"/>
    </row>
    <row r="23" spans="3:42" x14ac:dyDescent="0.25">
      <c r="D23" s="120"/>
      <c r="F23" s="216"/>
      <c r="H23" s="120"/>
      <c r="J23" s="216"/>
      <c r="L23" s="120"/>
      <c r="N23" s="216"/>
      <c r="P23" s="120"/>
      <c r="R23" s="216"/>
      <c r="T23" s="120"/>
      <c r="V23" s="80"/>
      <c r="X23" s="120"/>
      <c r="AB23" s="120"/>
      <c r="AF23" s="120"/>
      <c r="AG23" s="120"/>
      <c r="AK23" s="403"/>
    </row>
    <row r="24" spans="3:42" x14ac:dyDescent="0.25">
      <c r="D24" s="120"/>
      <c r="F24" s="216"/>
      <c r="H24" s="120"/>
      <c r="J24" s="216"/>
      <c r="L24" s="120"/>
      <c r="N24" s="216"/>
      <c r="P24" s="120"/>
      <c r="R24" s="216"/>
      <c r="T24" s="120"/>
      <c r="V24" s="80"/>
      <c r="X24" s="120"/>
      <c r="AB24" s="120"/>
      <c r="AF24" s="120"/>
      <c r="AG24" s="120"/>
      <c r="AK24" s="403"/>
    </row>
    <row r="25" spans="3:42" x14ac:dyDescent="0.25">
      <c r="D25" s="120"/>
      <c r="F25" s="216"/>
      <c r="H25" s="120"/>
      <c r="J25" s="216"/>
      <c r="L25" s="120"/>
      <c r="N25" s="216"/>
      <c r="P25" s="120"/>
      <c r="R25" s="216"/>
      <c r="T25" s="120"/>
      <c r="V25" s="80"/>
      <c r="X25" s="120"/>
      <c r="AB25" s="120"/>
      <c r="AF25" s="120"/>
      <c r="AG25" s="120"/>
      <c r="AK25" s="403"/>
    </row>
    <row r="26" spans="3:42" x14ac:dyDescent="0.25">
      <c r="D26" s="120"/>
      <c r="F26" s="216"/>
      <c r="H26" s="120"/>
      <c r="J26" s="216"/>
      <c r="L26" s="120"/>
      <c r="N26" s="216"/>
      <c r="P26" s="120"/>
      <c r="R26" s="216"/>
      <c r="T26" s="120"/>
      <c r="V26" s="80"/>
      <c r="X26" s="120"/>
      <c r="AB26" s="120"/>
      <c r="AF26" s="120"/>
      <c r="AG26" s="120"/>
      <c r="AK26" s="403"/>
    </row>
    <row r="27" spans="3:42" x14ac:dyDescent="0.25">
      <c r="D27" s="120"/>
      <c r="F27" s="216"/>
      <c r="H27" s="120"/>
      <c r="J27" s="216"/>
      <c r="L27" s="120"/>
      <c r="N27" s="216"/>
      <c r="P27" s="120"/>
      <c r="R27" s="216"/>
      <c r="T27" s="120"/>
      <c r="V27" s="80"/>
      <c r="X27" s="120"/>
      <c r="AB27" s="120"/>
      <c r="AF27" s="120"/>
      <c r="AG27" s="120"/>
      <c r="AK27" s="403"/>
    </row>
    <row r="28" spans="3:42" x14ac:dyDescent="0.25">
      <c r="D28" s="120"/>
      <c r="F28" s="216"/>
      <c r="H28" s="120"/>
      <c r="J28" s="216"/>
      <c r="L28" s="120"/>
      <c r="N28" s="216"/>
      <c r="P28" s="120"/>
      <c r="R28" s="216"/>
      <c r="T28" s="120"/>
      <c r="V28" s="80"/>
      <c r="X28" s="120"/>
      <c r="AB28" s="120"/>
      <c r="AF28" s="120"/>
      <c r="AG28" s="120"/>
      <c r="AK28" s="403"/>
    </row>
    <row r="29" spans="3:42" x14ac:dyDescent="0.25">
      <c r="D29" s="120"/>
      <c r="F29" s="216"/>
      <c r="H29" s="120"/>
      <c r="J29" s="216"/>
      <c r="L29" s="120"/>
      <c r="N29" s="216"/>
      <c r="P29" s="120"/>
      <c r="R29" s="216"/>
      <c r="T29" s="120"/>
      <c r="V29" s="80"/>
      <c r="X29" s="120"/>
      <c r="AB29" s="120"/>
      <c r="AF29" s="120"/>
      <c r="AG29" s="120"/>
      <c r="AK29" s="403"/>
    </row>
    <row r="30" spans="3:42" x14ac:dyDescent="0.25">
      <c r="D30" s="120"/>
      <c r="F30" s="216"/>
      <c r="H30" s="120"/>
      <c r="J30" s="216"/>
      <c r="L30" s="120"/>
      <c r="N30" s="216"/>
      <c r="P30" s="120"/>
      <c r="R30" s="216"/>
      <c r="T30" s="120"/>
      <c r="V30" s="80"/>
      <c r="X30" s="120"/>
      <c r="AB30" s="120"/>
      <c r="AF30" s="120"/>
      <c r="AG30" s="120"/>
      <c r="AK30" s="403"/>
    </row>
    <row r="31" spans="3:42" x14ac:dyDescent="0.25">
      <c r="D31" s="120"/>
      <c r="F31" s="216"/>
      <c r="H31" s="120"/>
      <c r="J31" s="216"/>
      <c r="L31" s="120"/>
      <c r="N31" s="216"/>
      <c r="P31" s="120"/>
      <c r="R31" s="216"/>
      <c r="T31" s="120"/>
      <c r="V31" s="80"/>
      <c r="X31" s="120"/>
      <c r="AB31" s="120"/>
      <c r="AF31" s="120"/>
      <c r="AG31" s="120"/>
      <c r="AK31" s="403"/>
    </row>
    <row r="32" spans="3:42" x14ac:dyDescent="0.25">
      <c r="D32" s="120"/>
      <c r="F32" s="216"/>
      <c r="H32" s="120"/>
      <c r="J32" s="216"/>
      <c r="L32" s="120"/>
      <c r="N32" s="216"/>
      <c r="P32" s="120"/>
      <c r="R32" s="216"/>
      <c r="T32" s="120"/>
      <c r="V32" s="80"/>
      <c r="X32" s="120"/>
      <c r="AB32" s="120"/>
      <c r="AF32" s="120"/>
      <c r="AG32" s="120"/>
      <c r="AK32" s="403"/>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F38" s="216"/>
      <c r="H38" s="120"/>
      <c r="J38" s="216"/>
      <c r="L38" s="120"/>
      <c r="N38" s="216"/>
      <c r="P38" s="120"/>
      <c r="R38" s="216"/>
      <c r="T38" s="120"/>
      <c r="V38" s="80"/>
      <c r="X38" s="120"/>
      <c r="AB38" s="120"/>
      <c r="AF38" s="120"/>
      <c r="AG38" s="120"/>
      <c r="AK38" s="403"/>
    </row>
    <row r="39" spans="4:37" x14ac:dyDescent="0.25">
      <c r="D39" s="120"/>
      <c r="F39" s="216"/>
      <c r="H39" s="120"/>
      <c r="J39" s="216"/>
      <c r="L39" s="120"/>
      <c r="N39" s="216"/>
      <c r="P39" s="120"/>
      <c r="R39" s="216"/>
      <c r="T39" s="120"/>
      <c r="V39" s="8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9" orientation="landscape" copies="15" r:id="rId1"/>
  <headerFooter alignWithMargins="0">
    <oddHeader>&amp;C&amp;"-,Bold"Proposed Budget &amp; Analysis Report for FY20</oddHeader>
    <oddFooter>&amp;C&amp;D&amp;T&amp;R&amp;A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R363"/>
  <sheetViews>
    <sheetView zoomScaleNormal="100" zoomScaleSheetLayoutView="100" workbookViewId="0">
      <selection activeCell="C15" sqref="C15"/>
    </sheetView>
  </sheetViews>
  <sheetFormatPr defaultRowHeight="13.5" x14ac:dyDescent="0.25"/>
  <cols>
    <col min="1" max="1" width="19" style="161" bestFit="1" customWidth="1"/>
    <col min="2" max="2" width="6.42578125" style="161" customWidth="1"/>
    <col min="3" max="3" width="40.85546875" style="161" customWidth="1"/>
    <col min="4" max="4" width="11.42578125" style="211" hidden="1" customWidth="1"/>
    <col min="5" max="5" width="10.5703125" style="211" hidden="1" customWidth="1"/>
    <col min="6" max="6" width="7" style="211" hidden="1" customWidth="1"/>
    <col min="7" max="7" width="2.42578125" style="211" hidden="1" customWidth="1"/>
    <col min="8" max="8" width="11.42578125" style="211" hidden="1" customWidth="1"/>
    <col min="9" max="9" width="10.5703125" style="211" hidden="1" customWidth="1"/>
    <col min="10" max="10" width="7" style="211" hidden="1" customWidth="1"/>
    <col min="11" max="11" width="2.42578125" style="211" hidden="1" customWidth="1"/>
    <col min="12" max="12" width="11.42578125" style="211" hidden="1" customWidth="1"/>
    <col min="13" max="13" width="10.5703125" style="211" hidden="1" customWidth="1"/>
    <col min="14" max="14" width="7" style="211" hidden="1" customWidth="1"/>
    <col min="15" max="15" width="2.42578125" style="211" hidden="1" customWidth="1"/>
    <col min="16" max="16" width="11.42578125" style="211" hidden="1" customWidth="1"/>
    <col min="17" max="17" width="10.5703125" style="211" hidden="1" customWidth="1"/>
    <col min="18" max="18" width="7" style="211" hidden="1" customWidth="1"/>
    <col min="19" max="19" width="2.42578125" style="211" hidden="1" customWidth="1"/>
    <col min="20" max="20" width="11.42578125" style="161" hidden="1" customWidth="1"/>
    <col min="21" max="21" width="10.5703125" style="161" hidden="1" customWidth="1"/>
    <col min="22" max="22" width="7" style="161" hidden="1" customWidth="1"/>
    <col min="23" max="23" width="2.42578125" style="161" hidden="1" customWidth="1"/>
    <col min="24" max="24" width="9.5703125" style="161" hidden="1" customWidth="1"/>
    <col min="25" max="25" width="10.140625" style="161" hidden="1" customWidth="1"/>
    <col min="26" max="26" width="8.5703125" style="161" hidden="1" customWidth="1"/>
    <col min="27" max="27" width="2.42578125" style="161" hidden="1" customWidth="1"/>
    <col min="28" max="29" width="10.7109375" style="161" bestFit="1" customWidth="1"/>
    <col min="30" max="30" width="7.5703125" style="161" bestFit="1" customWidth="1"/>
    <col min="31" max="31" width="4.7109375" style="211" customWidth="1"/>
    <col min="32" max="32" width="9.5703125" style="211" hidden="1" customWidth="1"/>
    <col min="33" max="34" width="10.7109375" style="211" bestFit="1" customWidth="1"/>
    <col min="35" max="35" width="8.28515625" style="211" bestFit="1" customWidth="1"/>
    <col min="36" max="36" width="4.7109375" style="161" customWidth="1"/>
    <col min="37" max="38" width="10.7109375" style="394" bestFit="1" customWidth="1"/>
    <col min="39" max="39" width="7.5703125" style="394" bestFit="1" customWidth="1"/>
    <col min="40" max="40" width="4.85546875" style="394" customWidth="1"/>
    <col min="41" max="41" width="12.42578125" style="104" customWidth="1"/>
    <col min="42" max="42" width="13.5703125" style="104" customWidth="1"/>
    <col min="43" max="43" width="10.140625" style="161" bestFit="1" customWidth="1"/>
    <col min="44" max="44" width="32.85546875" style="161" bestFit="1" customWidth="1"/>
    <col min="45" max="16384" width="9.140625" style="161"/>
  </cols>
  <sheetData>
    <row r="1" spans="1:44" ht="15.75" customHeight="1" x14ac:dyDescent="0.25">
      <c r="A1" s="105"/>
    </row>
    <row r="3" spans="1:4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6"/>
      <c r="AK3" s="807" t="s">
        <v>1592</v>
      </c>
      <c r="AL3" s="808"/>
      <c r="AM3" s="809"/>
      <c r="AO3" s="805" t="s">
        <v>1593</v>
      </c>
      <c r="AP3" s="805"/>
      <c r="AQ3" s="805"/>
      <c r="AR3" s="805"/>
    </row>
    <row r="4" spans="1:44" ht="27" x14ac:dyDescent="0.25">
      <c r="A4" s="271" t="s">
        <v>272</v>
      </c>
      <c r="B4" s="271"/>
      <c r="C4" s="308" t="s">
        <v>1662</v>
      </c>
      <c r="D4" s="106" t="s">
        <v>98</v>
      </c>
      <c r="E4" s="106" t="s">
        <v>27</v>
      </c>
      <c r="F4" s="106" t="s">
        <v>379</v>
      </c>
      <c r="H4" s="106" t="s">
        <v>98</v>
      </c>
      <c r="I4" s="106" t="s">
        <v>27</v>
      </c>
      <c r="J4" s="106" t="s">
        <v>379</v>
      </c>
      <c r="L4" s="106" t="s">
        <v>98</v>
      </c>
      <c r="M4" s="106" t="s">
        <v>27</v>
      </c>
      <c r="N4" s="106" t="s">
        <v>379</v>
      </c>
      <c r="P4" s="106" t="s">
        <v>98</v>
      </c>
      <c r="Q4" s="106" t="s">
        <v>27</v>
      </c>
      <c r="R4" s="106" t="s">
        <v>379</v>
      </c>
      <c r="T4" s="106" t="s">
        <v>98</v>
      </c>
      <c r="U4" s="106" t="s">
        <v>27</v>
      </c>
      <c r="V4" s="106" t="s">
        <v>379</v>
      </c>
      <c r="X4" s="106" t="s">
        <v>98</v>
      </c>
      <c r="Y4" s="106" t="s">
        <v>27</v>
      </c>
      <c r="Z4" s="106" t="s">
        <v>282</v>
      </c>
      <c r="AB4" s="106" t="s">
        <v>98</v>
      </c>
      <c r="AC4" s="106" t="s">
        <v>27</v>
      </c>
      <c r="AD4" s="106" t="s">
        <v>282</v>
      </c>
      <c r="AF4" s="106" t="s">
        <v>98</v>
      </c>
      <c r="AG4" s="379" t="s">
        <v>1369</v>
      </c>
      <c r="AH4" s="106" t="s">
        <v>27</v>
      </c>
      <c r="AI4" s="106" t="s">
        <v>282</v>
      </c>
      <c r="AJ4" s="106"/>
      <c r="AK4" s="106" t="s">
        <v>98</v>
      </c>
      <c r="AL4" s="439" t="s">
        <v>1714</v>
      </c>
      <c r="AM4" s="106" t="s">
        <v>282</v>
      </c>
      <c r="AO4" s="107" t="s">
        <v>274</v>
      </c>
      <c r="AP4" s="108" t="s">
        <v>107</v>
      </c>
      <c r="AQ4" s="109" t="s">
        <v>28</v>
      </c>
      <c r="AR4" s="110" t="s">
        <v>275</v>
      </c>
    </row>
    <row r="5" spans="1:44" x14ac:dyDescent="0.25">
      <c r="C5" s="111" t="s">
        <v>276</v>
      </c>
      <c r="AO5" s="103"/>
      <c r="AP5" s="103"/>
      <c r="AR5" s="111"/>
    </row>
    <row r="6" spans="1:44" s="698" customFormat="1" ht="16.5" x14ac:dyDescent="0.3">
      <c r="A6" s="698" t="s">
        <v>380</v>
      </c>
      <c r="B6" s="699" t="str">
        <f>MID(A6,14,4)</f>
        <v>5108</v>
      </c>
      <c r="C6" s="698" t="s">
        <v>1721</v>
      </c>
      <c r="D6" s="700">
        <v>4757</v>
      </c>
      <c r="E6" s="700">
        <v>4501.0600000000004</v>
      </c>
      <c r="F6" s="701"/>
      <c r="G6" s="692"/>
      <c r="H6" s="700">
        <v>4880</v>
      </c>
      <c r="I6" s="700">
        <v>4162.57</v>
      </c>
      <c r="J6" s="701"/>
      <c r="K6" s="692"/>
      <c r="L6" s="700">
        <v>5199.12</v>
      </c>
      <c r="M6" s="700">
        <v>3114.28</v>
      </c>
      <c r="N6" s="701"/>
      <c r="O6" s="692"/>
      <c r="P6" s="700">
        <v>3298</v>
      </c>
      <c r="Q6" s="700">
        <v>3298.1</v>
      </c>
      <c r="R6" s="701"/>
      <c r="S6" s="692"/>
      <c r="T6" s="700">
        <v>3463.99</v>
      </c>
      <c r="U6" s="700">
        <v>4122.5600000000004</v>
      </c>
      <c r="V6" s="701"/>
      <c r="W6" s="692"/>
      <c r="X6" s="700">
        <v>3716.21</v>
      </c>
      <c r="Y6" s="700">
        <v>3716.21</v>
      </c>
      <c r="Z6" s="701">
        <v>7.2811988487264764E-2</v>
      </c>
      <c r="AA6" s="692"/>
      <c r="AB6" s="700">
        <v>3871.15</v>
      </c>
      <c r="AC6" s="700">
        <v>3871.15</v>
      </c>
      <c r="AD6" s="701">
        <f>(AB6-X6)/X6</f>
        <v>4.1693015195589066E-2</v>
      </c>
      <c r="AE6" s="692"/>
      <c r="AF6" s="704">
        <v>4043.41</v>
      </c>
      <c r="AG6" s="747">
        <v>4400.46</v>
      </c>
      <c r="AH6" s="700">
        <v>4400.46</v>
      </c>
      <c r="AI6" s="701">
        <f>(AG6-AB6)/AB6</f>
        <v>0.13673197886932822</v>
      </c>
      <c r="AJ6" s="701"/>
      <c r="AK6" s="700">
        <v>4641.62</v>
      </c>
      <c r="AL6" s="700">
        <v>2223</v>
      </c>
      <c r="AM6" s="701">
        <f>(AK6-AG6)/AG6</f>
        <v>5.4803361466755712E-2</v>
      </c>
      <c r="AN6" s="692"/>
      <c r="AO6" s="706">
        <f>'FY20 Payroll Schedule'!J21</f>
        <v>4909.9320000000007</v>
      </c>
      <c r="AP6" s="704">
        <f>AO6-AK6</f>
        <v>268.31200000000081</v>
      </c>
      <c r="AQ6" s="701">
        <f>(AO6-AK6)/AK6</f>
        <v>5.7805679913478659E-2</v>
      </c>
      <c r="AR6" s="705"/>
    </row>
    <row r="7" spans="1:44" s="698" customFormat="1" ht="16.5" x14ac:dyDescent="0.3">
      <c r="A7" s="699" t="s">
        <v>1750</v>
      </c>
      <c r="B7" s="707">
        <v>5142</v>
      </c>
      <c r="C7" s="698" t="s">
        <v>1455</v>
      </c>
      <c r="D7" s="700"/>
      <c r="E7" s="700"/>
      <c r="F7" s="701"/>
      <c r="G7" s="692"/>
      <c r="H7" s="700"/>
      <c r="I7" s="700"/>
      <c r="J7" s="701"/>
      <c r="K7" s="692"/>
      <c r="L7" s="700"/>
      <c r="M7" s="700"/>
      <c r="N7" s="701"/>
      <c r="O7" s="692"/>
      <c r="P7" s="700"/>
      <c r="Q7" s="700"/>
      <c r="R7" s="701"/>
      <c r="S7" s="692"/>
      <c r="T7" s="700"/>
      <c r="U7" s="700"/>
      <c r="V7" s="701"/>
      <c r="W7" s="692"/>
      <c r="X7" s="700"/>
      <c r="Y7" s="700"/>
      <c r="Z7" s="701"/>
      <c r="AA7" s="692"/>
      <c r="AB7" s="700"/>
      <c r="AC7" s="700"/>
      <c r="AD7" s="701"/>
      <c r="AE7" s="692"/>
      <c r="AF7" s="704"/>
      <c r="AG7" s="747"/>
      <c r="AH7" s="700"/>
      <c r="AI7" s="701"/>
      <c r="AJ7" s="701"/>
      <c r="AK7" s="700"/>
      <c r="AL7" s="700"/>
      <c r="AM7" s="701"/>
      <c r="AN7" s="692"/>
      <c r="AO7" s="706">
        <f>'FY20 Payroll Schedule'!K21</f>
        <v>49.099320000000006</v>
      </c>
      <c r="AP7" s="704">
        <f>AO7-AK7</f>
        <v>49.099320000000006</v>
      </c>
      <c r="AQ7" s="701"/>
      <c r="AR7" s="705"/>
    </row>
    <row r="8" spans="1:44" s="712" customFormat="1" ht="16.5" x14ac:dyDescent="0.3">
      <c r="A8" s="708"/>
      <c r="B8" s="708"/>
      <c r="C8" s="708" t="s">
        <v>26</v>
      </c>
      <c r="D8" s="709">
        <f>SUM(D6:D6)</f>
        <v>4757</v>
      </c>
      <c r="E8" s="709">
        <f>SUM(E6:E6)</f>
        <v>4501.0600000000004</v>
      </c>
      <c r="F8" s="710">
        <v>6.54E-2</v>
      </c>
      <c r="G8" s="708"/>
      <c r="H8" s="709">
        <f>SUM(H6:H6)</f>
        <v>4880</v>
      </c>
      <c r="I8" s="709">
        <f>SUM(I6:I6)</f>
        <v>4162.57</v>
      </c>
      <c r="J8" s="710">
        <v>6.54E-2</v>
      </c>
      <c r="K8" s="708"/>
      <c r="L8" s="709">
        <f>SUM(L6:L6)</f>
        <v>5199.12</v>
      </c>
      <c r="M8" s="709">
        <f>SUM(M6:M6)</f>
        <v>3114.28</v>
      </c>
      <c r="N8" s="710">
        <v>6.54E-2</v>
      </c>
      <c r="O8" s="708"/>
      <c r="P8" s="709">
        <f>SUM(P6:P6)</f>
        <v>3298</v>
      </c>
      <c r="Q8" s="709">
        <f>SUM(Q6:Q6)</f>
        <v>3298.1</v>
      </c>
      <c r="R8" s="710">
        <v>6.54E-2</v>
      </c>
      <c r="S8" s="708"/>
      <c r="T8" s="709">
        <f>SUM(T6:T6)</f>
        <v>3463.99</v>
      </c>
      <c r="U8" s="709">
        <f>SUM(U6:U6)</f>
        <v>4122.5600000000004</v>
      </c>
      <c r="V8" s="710">
        <v>6.54E-2</v>
      </c>
      <c r="W8" s="708"/>
      <c r="X8" s="709">
        <f>SUM(X6:X6)</f>
        <v>3716.21</v>
      </c>
      <c r="Y8" s="709">
        <f>SUM(Y6:Y6)</f>
        <v>3716.21</v>
      </c>
      <c r="Z8" s="710">
        <f>(X8-T8)/T8</f>
        <v>7.2811988487264764E-2</v>
      </c>
      <c r="AA8" s="708"/>
      <c r="AB8" s="709">
        <f>SUM(AB6:AB6)</f>
        <v>3871.15</v>
      </c>
      <c r="AC8" s="709">
        <f>SUM(AC6:AC6)</f>
        <v>3871.15</v>
      </c>
      <c r="AD8" s="710">
        <f>(AB8-X8)/X8</f>
        <v>4.1693015195589066E-2</v>
      </c>
      <c r="AE8" s="708"/>
      <c r="AF8" s="711">
        <f>SUM(AF6)</f>
        <v>4043.41</v>
      </c>
      <c r="AG8" s="711">
        <f>SUM(AG6)</f>
        <v>4400.46</v>
      </c>
      <c r="AH8" s="709">
        <f>SUM(AH6:AH6)</f>
        <v>4400.46</v>
      </c>
      <c r="AI8" s="710">
        <f t="shared" ref="AI8:AI18" si="0">(AG8-AB8)/AB8</f>
        <v>0.13673197886932822</v>
      </c>
      <c r="AJ8" s="710"/>
      <c r="AK8" s="709">
        <f>SUM(AK6:AK6)</f>
        <v>4641.62</v>
      </c>
      <c r="AL8" s="709">
        <f>SUM(AL6:AL6)</f>
        <v>2223</v>
      </c>
      <c r="AM8" s="710">
        <f>(AK8-AG8)/AG8</f>
        <v>5.4803361466755712E-2</v>
      </c>
      <c r="AN8" s="708"/>
      <c r="AO8" s="711">
        <f>SUM(AO6:AO7)</f>
        <v>4959.031320000001</v>
      </c>
      <c r="AP8" s="711">
        <f>SUM(AP6:AP7)</f>
        <v>317.41132000000084</v>
      </c>
      <c r="AQ8" s="710">
        <f>(AO8-AK8)/AK8</f>
        <v>6.8383736712613497E-2</v>
      </c>
      <c r="AR8" s="708"/>
    </row>
    <row r="9" spans="1:44" s="698" customFormat="1" ht="16.5" x14ac:dyDescent="0.3">
      <c r="D9" s="714"/>
      <c r="E9" s="714"/>
      <c r="F9" s="701"/>
      <c r="H9" s="714"/>
      <c r="I9" s="714"/>
      <c r="J9" s="701"/>
      <c r="L9" s="714"/>
      <c r="M9" s="714"/>
      <c r="N9" s="701"/>
      <c r="P9" s="714"/>
      <c r="Q9" s="714"/>
      <c r="R9" s="701"/>
      <c r="T9" s="714"/>
      <c r="U9" s="714"/>
      <c r="V9" s="701"/>
      <c r="X9" s="714"/>
      <c r="Y9" s="714"/>
      <c r="Z9" s="701"/>
      <c r="AB9" s="714"/>
      <c r="AC9" s="714"/>
      <c r="AD9" s="701"/>
      <c r="AF9" s="704"/>
      <c r="AG9" s="704"/>
      <c r="AH9" s="714"/>
      <c r="AI9" s="701"/>
      <c r="AJ9" s="701"/>
      <c r="AK9" s="714"/>
      <c r="AL9" s="714"/>
      <c r="AM9" s="701"/>
      <c r="AO9" s="704"/>
      <c r="AP9" s="704"/>
      <c r="AQ9" s="701"/>
    </row>
    <row r="10" spans="1:44" s="698" customFormat="1" ht="16.5" x14ac:dyDescent="0.3">
      <c r="C10" s="686" t="s">
        <v>277</v>
      </c>
      <c r="D10" s="714"/>
      <c r="E10" s="714"/>
      <c r="F10" s="701"/>
      <c r="H10" s="714"/>
      <c r="I10" s="714"/>
      <c r="J10" s="701"/>
      <c r="L10" s="714"/>
      <c r="M10" s="714"/>
      <c r="N10" s="701"/>
      <c r="P10" s="714"/>
      <c r="Q10" s="714"/>
      <c r="R10" s="701"/>
      <c r="T10" s="714"/>
      <c r="U10" s="714"/>
      <c r="V10" s="701"/>
      <c r="X10" s="714"/>
      <c r="Y10" s="714"/>
      <c r="Z10" s="701"/>
      <c r="AB10" s="714"/>
      <c r="AC10" s="714"/>
      <c r="AD10" s="701"/>
      <c r="AF10" s="704"/>
      <c r="AG10" s="704"/>
      <c r="AH10" s="714"/>
      <c r="AI10" s="701"/>
      <c r="AJ10" s="701"/>
      <c r="AK10" s="714"/>
      <c r="AL10" s="714"/>
      <c r="AM10" s="701"/>
      <c r="AO10" s="704"/>
      <c r="AP10" s="704"/>
      <c r="AQ10" s="701"/>
      <c r="AR10" s="686"/>
    </row>
    <row r="11" spans="1:44" s="698" customFormat="1" ht="16.5" x14ac:dyDescent="0.3">
      <c r="A11" s="698" t="s">
        <v>381</v>
      </c>
      <c r="B11" s="699" t="str">
        <f>MID(A11,14,4)</f>
        <v>5303</v>
      </c>
      <c r="C11" s="698" t="s">
        <v>1495</v>
      </c>
      <c r="D11" s="700">
        <v>50</v>
      </c>
      <c r="E11" s="700">
        <v>60</v>
      </c>
      <c r="F11" s="701"/>
      <c r="G11" s="692"/>
      <c r="H11" s="700">
        <v>50</v>
      </c>
      <c r="I11" s="700">
        <v>30</v>
      </c>
      <c r="J11" s="701"/>
      <c r="K11" s="692"/>
      <c r="L11" s="700">
        <v>50</v>
      </c>
      <c r="M11" s="700">
        <v>40</v>
      </c>
      <c r="N11" s="701"/>
      <c r="O11" s="692"/>
      <c r="P11" s="700">
        <v>50</v>
      </c>
      <c r="Q11" s="700">
        <v>40</v>
      </c>
      <c r="R11" s="701"/>
      <c r="S11" s="692"/>
      <c r="T11" s="700">
        <v>50</v>
      </c>
      <c r="U11" s="700">
        <v>0</v>
      </c>
      <c r="V11" s="701"/>
      <c r="W11" s="692"/>
      <c r="X11" s="700">
        <v>50</v>
      </c>
      <c r="Y11" s="700">
        <v>0</v>
      </c>
      <c r="Z11" s="701">
        <v>0</v>
      </c>
      <c r="AA11" s="692"/>
      <c r="AB11" s="700">
        <v>50</v>
      </c>
      <c r="AC11" s="700">
        <v>0</v>
      </c>
      <c r="AD11" s="701">
        <f t="shared" ref="AD11:AD16" si="1">(AB11-X11)/X11</f>
        <v>0</v>
      </c>
      <c r="AE11" s="692"/>
      <c r="AF11" s="748">
        <v>50</v>
      </c>
      <c r="AG11" s="748">
        <v>50</v>
      </c>
      <c r="AH11" s="700">
        <v>185</v>
      </c>
      <c r="AI11" s="701">
        <f t="shared" si="0"/>
        <v>0</v>
      </c>
      <c r="AJ11" s="701"/>
      <c r="AK11" s="700">
        <v>70</v>
      </c>
      <c r="AL11" s="700"/>
      <c r="AM11" s="701">
        <f t="shared" ref="AM11:AM16" si="2">(AK11-AG11)/AG11</f>
        <v>0.4</v>
      </c>
      <c r="AN11" s="692"/>
      <c r="AO11" s="749">
        <v>80</v>
      </c>
      <c r="AP11" s="704">
        <f>AO11-AK11</f>
        <v>10</v>
      </c>
      <c r="AQ11" s="701">
        <f t="shared" ref="AQ11:AQ16" si="3">(AO11-AK11)/AK11</f>
        <v>0.14285714285714285</v>
      </c>
      <c r="AR11" s="750"/>
    </row>
    <row r="12" spans="1:44" s="698" customFormat="1" ht="16.5" x14ac:dyDescent="0.3">
      <c r="A12" s="698" t="s">
        <v>382</v>
      </c>
      <c r="B12" s="699" t="str">
        <f>MID(A12,14,4)</f>
        <v>5306</v>
      </c>
      <c r="C12" s="698" t="s">
        <v>1599</v>
      </c>
      <c r="D12" s="700">
        <v>50</v>
      </c>
      <c r="E12" s="700">
        <v>292.10000000000002</v>
      </c>
      <c r="F12" s="701"/>
      <c r="G12" s="692"/>
      <c r="H12" s="700">
        <v>50</v>
      </c>
      <c r="I12" s="700">
        <v>0</v>
      </c>
      <c r="J12" s="701"/>
      <c r="K12" s="692"/>
      <c r="L12" s="700">
        <v>50</v>
      </c>
      <c r="M12" s="700">
        <v>0</v>
      </c>
      <c r="N12" s="701"/>
      <c r="O12" s="692"/>
      <c r="P12" s="700">
        <v>50</v>
      </c>
      <c r="Q12" s="700">
        <v>50.05</v>
      </c>
      <c r="R12" s="701"/>
      <c r="S12" s="692"/>
      <c r="T12" s="700">
        <v>50</v>
      </c>
      <c r="U12" s="700">
        <v>0</v>
      </c>
      <c r="V12" s="701"/>
      <c r="W12" s="692"/>
      <c r="X12" s="700">
        <v>50</v>
      </c>
      <c r="Y12" s="700">
        <v>86.8</v>
      </c>
      <c r="Z12" s="701">
        <v>0</v>
      </c>
      <c r="AA12" s="692"/>
      <c r="AB12" s="700">
        <v>50</v>
      </c>
      <c r="AC12" s="700">
        <v>79.8</v>
      </c>
      <c r="AD12" s="701">
        <f t="shared" si="1"/>
        <v>0</v>
      </c>
      <c r="AE12" s="692"/>
      <c r="AF12" s="748">
        <v>80</v>
      </c>
      <c r="AG12" s="748">
        <v>80</v>
      </c>
      <c r="AH12" s="700">
        <v>227.15</v>
      </c>
      <c r="AI12" s="701">
        <f t="shared" si="0"/>
        <v>0.6</v>
      </c>
      <c r="AJ12" s="701"/>
      <c r="AK12" s="700">
        <v>80</v>
      </c>
      <c r="AL12" s="700"/>
      <c r="AM12" s="701">
        <f t="shared" si="2"/>
        <v>0</v>
      </c>
      <c r="AN12" s="692"/>
      <c r="AO12" s="749">
        <v>100</v>
      </c>
      <c r="AP12" s="704">
        <f>AO12-AK12</f>
        <v>20</v>
      </c>
      <c r="AQ12" s="701">
        <f t="shared" si="3"/>
        <v>0.25</v>
      </c>
      <c r="AR12" s="750"/>
    </row>
    <row r="13" spans="1:44" s="698" customFormat="1" ht="16.5" x14ac:dyDescent="0.3">
      <c r="A13" s="698" t="s">
        <v>383</v>
      </c>
      <c r="B13" s="699" t="str">
        <f>MID(A13,14,4)</f>
        <v>5344</v>
      </c>
      <c r="C13" s="698" t="s">
        <v>1601</v>
      </c>
      <c r="D13" s="700">
        <v>30</v>
      </c>
      <c r="E13" s="700">
        <v>0</v>
      </c>
      <c r="F13" s="701"/>
      <c r="G13" s="692"/>
      <c r="H13" s="700">
        <v>30</v>
      </c>
      <c r="I13" s="700">
        <v>0</v>
      </c>
      <c r="J13" s="701"/>
      <c r="K13" s="692"/>
      <c r="L13" s="700">
        <v>30</v>
      </c>
      <c r="M13" s="700">
        <v>0</v>
      </c>
      <c r="N13" s="701"/>
      <c r="O13" s="692"/>
      <c r="P13" s="700">
        <v>30</v>
      </c>
      <c r="Q13" s="700">
        <v>0</v>
      </c>
      <c r="R13" s="701"/>
      <c r="S13" s="692"/>
      <c r="T13" s="700">
        <v>30</v>
      </c>
      <c r="U13" s="700">
        <v>0</v>
      </c>
      <c r="V13" s="701"/>
      <c r="W13" s="692"/>
      <c r="X13" s="700">
        <v>30</v>
      </c>
      <c r="Y13" s="700">
        <v>2.91</v>
      </c>
      <c r="Z13" s="701">
        <v>0</v>
      </c>
      <c r="AA13" s="692"/>
      <c r="AB13" s="700">
        <v>30</v>
      </c>
      <c r="AC13" s="700">
        <v>2.79</v>
      </c>
      <c r="AD13" s="701">
        <f t="shared" si="1"/>
        <v>0</v>
      </c>
      <c r="AE13" s="692"/>
      <c r="AF13" s="700">
        <v>30</v>
      </c>
      <c r="AG13" s="700">
        <v>30</v>
      </c>
      <c r="AH13" s="700">
        <v>0</v>
      </c>
      <c r="AI13" s="701">
        <f t="shared" si="0"/>
        <v>0</v>
      </c>
      <c r="AJ13" s="701"/>
      <c r="AK13" s="700">
        <v>30</v>
      </c>
      <c r="AL13" s="700"/>
      <c r="AM13" s="701">
        <f t="shared" si="2"/>
        <v>0</v>
      </c>
      <c r="AN13" s="692"/>
      <c r="AO13" s="749">
        <v>30</v>
      </c>
      <c r="AP13" s="704">
        <f>AO13-AK13</f>
        <v>0</v>
      </c>
      <c r="AQ13" s="701">
        <f t="shared" si="3"/>
        <v>0</v>
      </c>
      <c r="AR13" s="750"/>
    </row>
    <row r="14" spans="1:44" s="698" customFormat="1" ht="16.5" x14ac:dyDescent="0.3">
      <c r="A14" s="698" t="s">
        <v>384</v>
      </c>
      <c r="B14" s="699" t="str">
        <f>MID(A14,14,4)</f>
        <v>5710</v>
      </c>
      <c r="C14" s="698" t="s">
        <v>1605</v>
      </c>
      <c r="D14" s="700">
        <v>50</v>
      </c>
      <c r="E14" s="700">
        <v>0</v>
      </c>
      <c r="F14" s="701"/>
      <c r="G14" s="692"/>
      <c r="H14" s="700">
        <v>50</v>
      </c>
      <c r="I14" s="700">
        <v>0</v>
      </c>
      <c r="J14" s="701"/>
      <c r="K14" s="692"/>
      <c r="L14" s="700">
        <v>50</v>
      </c>
      <c r="M14" s="700">
        <v>0</v>
      </c>
      <c r="N14" s="701"/>
      <c r="O14" s="692"/>
      <c r="P14" s="700">
        <v>50</v>
      </c>
      <c r="Q14" s="700">
        <v>0</v>
      </c>
      <c r="R14" s="701"/>
      <c r="S14" s="692"/>
      <c r="T14" s="700">
        <v>50</v>
      </c>
      <c r="U14" s="700">
        <v>0</v>
      </c>
      <c r="V14" s="701"/>
      <c r="W14" s="692"/>
      <c r="X14" s="700">
        <v>50</v>
      </c>
      <c r="Y14" s="700">
        <v>0</v>
      </c>
      <c r="Z14" s="701">
        <v>0</v>
      </c>
      <c r="AA14" s="692"/>
      <c r="AB14" s="700">
        <v>50</v>
      </c>
      <c r="AC14" s="700">
        <v>0</v>
      </c>
      <c r="AD14" s="701">
        <f t="shared" si="1"/>
        <v>0</v>
      </c>
      <c r="AE14" s="692"/>
      <c r="AF14" s="700">
        <v>50</v>
      </c>
      <c r="AG14" s="700">
        <v>50</v>
      </c>
      <c r="AH14" s="700">
        <v>0</v>
      </c>
      <c r="AI14" s="701">
        <f t="shared" si="0"/>
        <v>0</v>
      </c>
      <c r="AJ14" s="701"/>
      <c r="AK14" s="700">
        <v>50</v>
      </c>
      <c r="AL14" s="700"/>
      <c r="AM14" s="701">
        <f t="shared" si="2"/>
        <v>0</v>
      </c>
      <c r="AN14" s="692"/>
      <c r="AO14" s="749">
        <v>100</v>
      </c>
      <c r="AP14" s="704">
        <f>AO14-AK14</f>
        <v>50</v>
      </c>
      <c r="AQ14" s="701">
        <f t="shared" si="3"/>
        <v>1</v>
      </c>
      <c r="AR14" s="750"/>
    </row>
    <row r="15" spans="1:44" s="698" customFormat="1" ht="16.5" x14ac:dyDescent="0.3">
      <c r="A15" s="698" t="s">
        <v>385</v>
      </c>
      <c r="B15" s="699" t="str">
        <f>MID(A15,14,4)</f>
        <v>5730</v>
      </c>
      <c r="C15" s="698" t="s">
        <v>1594</v>
      </c>
      <c r="D15" s="700">
        <v>105</v>
      </c>
      <c r="E15" s="700">
        <v>245</v>
      </c>
      <c r="F15" s="701"/>
      <c r="G15" s="692"/>
      <c r="H15" s="700">
        <v>105</v>
      </c>
      <c r="I15" s="700">
        <v>205</v>
      </c>
      <c r="J15" s="701"/>
      <c r="K15" s="692"/>
      <c r="L15" s="700">
        <v>100</v>
      </c>
      <c r="M15" s="700">
        <v>205</v>
      </c>
      <c r="N15" s="701"/>
      <c r="O15" s="692"/>
      <c r="P15" s="700">
        <v>205</v>
      </c>
      <c r="Q15" s="700">
        <v>207</v>
      </c>
      <c r="R15" s="701"/>
      <c r="S15" s="692"/>
      <c r="T15" s="700">
        <v>205</v>
      </c>
      <c r="U15" s="700">
        <v>207</v>
      </c>
      <c r="V15" s="701"/>
      <c r="W15" s="692"/>
      <c r="X15" s="700">
        <v>205</v>
      </c>
      <c r="Y15" s="700">
        <v>207</v>
      </c>
      <c r="Z15" s="701">
        <v>0</v>
      </c>
      <c r="AA15" s="692"/>
      <c r="AB15" s="700">
        <v>207</v>
      </c>
      <c r="AC15" s="700">
        <v>209</v>
      </c>
      <c r="AD15" s="701">
        <f t="shared" si="1"/>
        <v>9.7560975609756097E-3</v>
      </c>
      <c r="AE15" s="692"/>
      <c r="AF15" s="700">
        <v>207</v>
      </c>
      <c r="AG15" s="700">
        <v>207</v>
      </c>
      <c r="AH15" s="700">
        <v>209</v>
      </c>
      <c r="AI15" s="701">
        <f t="shared" si="0"/>
        <v>0</v>
      </c>
      <c r="AJ15" s="701"/>
      <c r="AK15" s="700">
        <v>211</v>
      </c>
      <c r="AL15" s="700">
        <v>100</v>
      </c>
      <c r="AM15" s="701">
        <f t="shared" si="2"/>
        <v>1.932367149758454E-2</v>
      </c>
      <c r="AN15" s="692"/>
      <c r="AO15" s="749">
        <v>215</v>
      </c>
      <c r="AP15" s="704">
        <f>AO15-AK15</f>
        <v>4</v>
      </c>
      <c r="AQ15" s="701">
        <f t="shared" si="3"/>
        <v>1.8957345971563982E-2</v>
      </c>
      <c r="AR15" s="750"/>
    </row>
    <row r="16" spans="1:44" s="712" customFormat="1" ht="16.5" x14ac:dyDescent="0.3">
      <c r="A16" s="715"/>
      <c r="B16" s="715"/>
      <c r="C16" s="715" t="s">
        <v>279</v>
      </c>
      <c r="D16" s="716">
        <f>SUM(D11:D15)</f>
        <v>285</v>
      </c>
      <c r="E16" s="716">
        <f>SUM(E11:E15)</f>
        <v>597.1</v>
      </c>
      <c r="F16" s="717">
        <v>-1.7500000000000002E-2</v>
      </c>
      <c r="G16" s="715"/>
      <c r="H16" s="716">
        <f>SUM(H11:H15)</f>
        <v>285</v>
      </c>
      <c r="I16" s="716">
        <f>SUM(I11:I15)</f>
        <v>235</v>
      </c>
      <c r="J16" s="717">
        <v>-1.7500000000000002E-2</v>
      </c>
      <c r="K16" s="715"/>
      <c r="L16" s="716">
        <f>SUM(L11:L15)</f>
        <v>280</v>
      </c>
      <c r="M16" s="716">
        <f>SUM(M11:M15)</f>
        <v>245</v>
      </c>
      <c r="N16" s="717">
        <v>-1.7500000000000002E-2</v>
      </c>
      <c r="O16" s="715"/>
      <c r="P16" s="716">
        <f>SUM(P11:P15)</f>
        <v>385</v>
      </c>
      <c r="Q16" s="716">
        <f>SUM(Q11:Q15)</f>
        <v>297.05</v>
      </c>
      <c r="R16" s="717">
        <v>-1.7500000000000002E-2</v>
      </c>
      <c r="S16" s="715"/>
      <c r="T16" s="716">
        <f>SUM(T11:T15)</f>
        <v>385</v>
      </c>
      <c r="U16" s="716">
        <f>SUM(U11:U15)</f>
        <v>207</v>
      </c>
      <c r="V16" s="717">
        <v>-1.7500000000000002E-2</v>
      </c>
      <c r="W16" s="715"/>
      <c r="X16" s="716">
        <f>SUM(X11:X15)</f>
        <v>385</v>
      </c>
      <c r="Y16" s="716">
        <f>SUM(Y11:Y15)</f>
        <v>296.70999999999998</v>
      </c>
      <c r="Z16" s="718">
        <f>(X16-T16)/T16</f>
        <v>0</v>
      </c>
      <c r="AA16" s="715"/>
      <c r="AB16" s="716">
        <f>SUM(AB11:AB15)</f>
        <v>387</v>
      </c>
      <c r="AC16" s="716">
        <f>SUM(AC11:AC15)</f>
        <v>291.59000000000003</v>
      </c>
      <c r="AD16" s="717">
        <f t="shared" si="1"/>
        <v>5.1948051948051948E-3</v>
      </c>
      <c r="AE16" s="715"/>
      <c r="AF16" s="716">
        <f>SUM(AF11:AF15)</f>
        <v>417</v>
      </c>
      <c r="AG16" s="716">
        <f>SUM(AG11:AG15)</f>
        <v>417</v>
      </c>
      <c r="AH16" s="716">
        <f>SUM(AH11:AH15)</f>
        <v>621.15</v>
      </c>
      <c r="AI16" s="717">
        <f t="shared" si="0"/>
        <v>7.7519379844961239E-2</v>
      </c>
      <c r="AJ16" s="717"/>
      <c r="AK16" s="716">
        <f>SUM(AK11:AK15)</f>
        <v>441</v>
      </c>
      <c r="AL16" s="716">
        <f>SUM(AL11:AL15)</f>
        <v>100</v>
      </c>
      <c r="AM16" s="717">
        <f t="shared" si="2"/>
        <v>5.7553956834532377E-2</v>
      </c>
      <c r="AN16" s="715"/>
      <c r="AO16" s="719">
        <f>SUM(AO11:AO15)</f>
        <v>525</v>
      </c>
      <c r="AP16" s="716">
        <f>SUM(AP11:AP15)</f>
        <v>84</v>
      </c>
      <c r="AQ16" s="717">
        <f t="shared" si="3"/>
        <v>0.19047619047619047</v>
      </c>
      <c r="AR16" s="715"/>
    </row>
    <row r="17" spans="1:44" s="698" customFormat="1" ht="16.5" x14ac:dyDescent="0.3">
      <c r="D17" s="714"/>
      <c r="E17" s="714"/>
      <c r="F17" s="701"/>
      <c r="G17" s="692"/>
      <c r="H17" s="714"/>
      <c r="I17" s="714"/>
      <c r="J17" s="701"/>
      <c r="K17" s="692"/>
      <c r="L17" s="714"/>
      <c r="M17" s="714"/>
      <c r="N17" s="701"/>
      <c r="O17" s="692"/>
      <c r="P17" s="714"/>
      <c r="Q17" s="714"/>
      <c r="R17" s="701"/>
      <c r="S17" s="692"/>
      <c r="T17" s="714"/>
      <c r="U17" s="714"/>
      <c r="V17" s="701"/>
      <c r="W17" s="692"/>
      <c r="X17" s="714"/>
      <c r="Y17" s="714"/>
      <c r="Z17" s="701"/>
      <c r="AA17" s="692"/>
      <c r="AB17" s="714"/>
      <c r="AC17" s="714"/>
      <c r="AD17" s="701"/>
      <c r="AE17" s="692"/>
      <c r="AF17" s="714"/>
      <c r="AG17" s="714"/>
      <c r="AH17" s="714"/>
      <c r="AI17" s="701"/>
      <c r="AJ17" s="701"/>
      <c r="AK17" s="714"/>
      <c r="AL17" s="714"/>
      <c r="AM17" s="701"/>
      <c r="AN17" s="692"/>
      <c r="AO17" s="704"/>
      <c r="AP17" s="704"/>
      <c r="AQ17" s="701"/>
    </row>
    <row r="18" spans="1:44" s="712" customFormat="1" ht="14.25" x14ac:dyDescent="0.2">
      <c r="A18" s="720"/>
      <c r="B18" s="720"/>
      <c r="C18" s="744" t="s">
        <v>280</v>
      </c>
      <c r="D18" s="722">
        <f>D8+D16</f>
        <v>5042</v>
      </c>
      <c r="E18" s="722">
        <f>E8+E16</f>
        <v>5098.1600000000008</v>
      </c>
      <c r="F18" s="723">
        <v>6.08E-2</v>
      </c>
      <c r="G18" s="720"/>
      <c r="H18" s="722">
        <f>H8+H16</f>
        <v>5165</v>
      </c>
      <c r="I18" s="722">
        <f>I8+I16</f>
        <v>4397.57</v>
      </c>
      <c r="J18" s="723">
        <v>6.08E-2</v>
      </c>
      <c r="K18" s="720"/>
      <c r="L18" s="722">
        <f>L8+L16</f>
        <v>5479.12</v>
      </c>
      <c r="M18" s="722">
        <f>M8+M16</f>
        <v>3359.28</v>
      </c>
      <c r="N18" s="723">
        <v>6.08E-2</v>
      </c>
      <c r="O18" s="720"/>
      <c r="P18" s="722">
        <f>P8+P16</f>
        <v>3683</v>
      </c>
      <c r="Q18" s="722">
        <f>Q8+Q16</f>
        <v>3595.15</v>
      </c>
      <c r="R18" s="723">
        <v>6.08E-2</v>
      </c>
      <c r="S18" s="720"/>
      <c r="T18" s="722">
        <f>T8+T16</f>
        <v>3848.99</v>
      </c>
      <c r="U18" s="722">
        <f>U8+U16</f>
        <v>4329.5600000000004</v>
      </c>
      <c r="V18" s="723">
        <v>6.08E-2</v>
      </c>
      <c r="W18" s="720"/>
      <c r="X18" s="722">
        <f>X8+X16</f>
        <v>4101.21</v>
      </c>
      <c r="Y18" s="722">
        <f>Y8+Y16</f>
        <v>4012.92</v>
      </c>
      <c r="Z18" s="723">
        <f>(X18-T18)/T18</f>
        <v>6.5528879004622065E-2</v>
      </c>
      <c r="AA18" s="720"/>
      <c r="AB18" s="722">
        <f>AB8+AB16</f>
        <v>4258.1499999999996</v>
      </c>
      <c r="AC18" s="722">
        <f>AC8+AC16</f>
        <v>4162.74</v>
      </c>
      <c r="AD18" s="723">
        <f>(AB18-X18)/X18</f>
        <v>3.8266755420961036E-2</v>
      </c>
      <c r="AE18" s="720"/>
      <c r="AF18" s="722">
        <f>AF8+AF16</f>
        <v>4460.41</v>
      </c>
      <c r="AG18" s="751">
        <f>AG8+AG16</f>
        <v>4817.46</v>
      </c>
      <c r="AH18" s="722">
        <f>AH8+AH16</f>
        <v>5021.6099999999997</v>
      </c>
      <c r="AI18" s="723">
        <f t="shared" si="0"/>
        <v>0.13135046910043105</v>
      </c>
      <c r="AJ18" s="723"/>
      <c r="AK18" s="722">
        <f>AK8+AK16</f>
        <v>5082.62</v>
      </c>
      <c r="AL18" s="722">
        <f>AL8+AL16</f>
        <v>2323</v>
      </c>
      <c r="AM18" s="723">
        <f>(AK18-AG18)/AG18</f>
        <v>5.5041453379996899E-2</v>
      </c>
      <c r="AN18" s="720"/>
      <c r="AO18" s="725">
        <f>AO8+AO16</f>
        <v>5484.031320000001</v>
      </c>
      <c r="AP18" s="722">
        <f>AP8+AP16</f>
        <v>401.41132000000084</v>
      </c>
      <c r="AQ18" s="723">
        <f>(AO18-AK18)/AK18</f>
        <v>7.8977244019816761E-2</v>
      </c>
      <c r="AR18" s="744"/>
    </row>
    <row r="19" spans="1:44" s="698" customFormat="1" ht="16.5" x14ac:dyDescent="0.3">
      <c r="B19" s="699"/>
      <c r="D19" s="700"/>
      <c r="E19" s="700"/>
      <c r="F19" s="701"/>
      <c r="G19" s="692"/>
      <c r="H19" s="700"/>
      <c r="I19" s="700"/>
      <c r="J19" s="701"/>
      <c r="K19" s="692"/>
      <c r="L19" s="700"/>
      <c r="M19" s="700"/>
      <c r="N19" s="701"/>
      <c r="O19" s="692"/>
      <c r="P19" s="700"/>
      <c r="Q19" s="700"/>
      <c r="R19" s="701"/>
      <c r="S19" s="692"/>
      <c r="T19" s="700"/>
      <c r="U19" s="700"/>
      <c r="V19" s="701"/>
      <c r="W19" s="692"/>
      <c r="X19" s="700"/>
      <c r="Y19" s="700"/>
      <c r="Z19" s="701"/>
      <c r="AA19" s="692"/>
      <c r="AB19" s="700"/>
      <c r="AC19" s="700"/>
      <c r="AD19" s="701"/>
      <c r="AE19" s="692"/>
      <c r="AF19" s="700"/>
      <c r="AG19" s="700"/>
      <c r="AH19" s="700"/>
      <c r="AI19" s="701"/>
      <c r="AJ19" s="701"/>
      <c r="AK19" s="700"/>
      <c r="AL19" s="700"/>
      <c r="AM19" s="701"/>
      <c r="AN19" s="692"/>
      <c r="AO19" s="704"/>
      <c r="AP19" s="704"/>
      <c r="AQ19" s="701"/>
      <c r="AR19" s="686"/>
    </row>
    <row r="20" spans="1:44" s="686" customFormat="1" ht="15" thickBot="1" x14ac:dyDescent="0.25">
      <c r="C20" s="686" t="s">
        <v>281</v>
      </c>
      <c r="D20" s="727"/>
      <c r="E20" s="728">
        <f>D18-E18</f>
        <v>-56.160000000000764</v>
      </c>
      <c r="G20" s="687"/>
      <c r="H20" s="727"/>
      <c r="I20" s="728">
        <f>H18-I18</f>
        <v>767.43000000000029</v>
      </c>
      <c r="K20" s="687"/>
      <c r="L20" s="727"/>
      <c r="M20" s="728">
        <f>L18-M18</f>
        <v>2119.8399999999997</v>
      </c>
      <c r="O20" s="687"/>
      <c r="P20" s="727"/>
      <c r="Q20" s="728">
        <f>P18-Q18</f>
        <v>87.849999999999909</v>
      </c>
      <c r="S20" s="687"/>
      <c r="T20" s="727"/>
      <c r="U20" s="728">
        <f>T18-U18</f>
        <v>-480.57000000000062</v>
      </c>
      <c r="W20" s="687"/>
      <c r="X20" s="727"/>
      <c r="Y20" s="728">
        <f>X18-Y18</f>
        <v>88.289999999999964</v>
      </c>
      <c r="AA20" s="687"/>
      <c r="AB20" s="727"/>
      <c r="AC20" s="728">
        <f>AB18-AC18</f>
        <v>95.409999999999854</v>
      </c>
      <c r="AE20" s="687"/>
      <c r="AF20" s="727"/>
      <c r="AG20" s="727"/>
      <c r="AH20" s="728">
        <f>AG18-AH18</f>
        <v>-204.14999999999964</v>
      </c>
      <c r="AK20" s="727"/>
      <c r="AL20" s="728">
        <f>AK18-AL18</f>
        <v>2759.62</v>
      </c>
      <c r="AN20" s="687"/>
      <c r="AO20" s="745"/>
      <c r="AP20" s="745"/>
    </row>
    <row r="21" spans="1:44" s="698" customFormat="1" ht="17.25" thickTop="1" x14ac:dyDescent="0.3">
      <c r="D21" s="752"/>
      <c r="E21" s="753"/>
      <c r="F21" s="753"/>
      <c r="G21" s="753"/>
      <c r="H21" s="752"/>
      <c r="I21" s="753"/>
      <c r="J21" s="753"/>
      <c r="K21" s="753"/>
      <c r="L21" s="752"/>
      <c r="M21" s="753"/>
      <c r="N21" s="753"/>
      <c r="O21" s="753"/>
      <c r="P21" s="752"/>
      <c r="Q21" s="753"/>
      <c r="R21" s="753"/>
      <c r="S21" s="753"/>
      <c r="T21" s="752"/>
      <c r="U21" s="753"/>
      <c r="V21" s="753"/>
      <c r="W21" s="753"/>
      <c r="X21" s="752"/>
      <c r="Y21" s="753"/>
      <c r="Z21" s="753"/>
      <c r="AA21" s="753"/>
      <c r="AB21" s="752"/>
      <c r="AC21" s="753"/>
      <c r="AD21" s="753"/>
      <c r="AE21" s="753"/>
      <c r="AF21" s="752"/>
      <c r="AG21" s="752"/>
      <c r="AH21" s="753"/>
      <c r="AI21" s="753"/>
      <c r="AJ21" s="753"/>
      <c r="AK21" s="752"/>
      <c r="AL21" s="753"/>
      <c r="AM21" s="753"/>
      <c r="AN21" s="753"/>
      <c r="AO21" s="754"/>
      <c r="AP21" s="754"/>
    </row>
    <row r="22" spans="1:44" s="698" customFormat="1" ht="16.5" x14ac:dyDescent="0.3">
      <c r="D22" s="752"/>
      <c r="E22" s="753"/>
      <c r="F22" s="753"/>
      <c r="G22" s="753"/>
      <c r="H22" s="752"/>
      <c r="I22" s="753"/>
      <c r="J22" s="753"/>
      <c r="K22" s="753"/>
      <c r="L22" s="752"/>
      <c r="M22" s="753"/>
      <c r="N22" s="753"/>
      <c r="O22" s="753"/>
      <c r="P22" s="752"/>
      <c r="Q22" s="753"/>
      <c r="R22" s="753"/>
      <c r="S22" s="753"/>
      <c r="T22" s="752"/>
      <c r="U22" s="753"/>
      <c r="V22" s="753"/>
      <c r="W22" s="753"/>
      <c r="X22" s="752"/>
      <c r="Y22" s="753"/>
      <c r="Z22" s="753"/>
      <c r="AA22" s="753"/>
      <c r="AB22" s="752"/>
      <c r="AC22" s="753"/>
      <c r="AD22" s="753"/>
      <c r="AE22" s="753"/>
      <c r="AF22" s="752"/>
      <c r="AG22" s="752"/>
      <c r="AH22" s="753"/>
      <c r="AI22" s="753"/>
      <c r="AJ22" s="753"/>
      <c r="AK22" s="752"/>
      <c r="AL22" s="753"/>
      <c r="AM22" s="753"/>
      <c r="AN22" s="753"/>
      <c r="AO22" s="729" t="s">
        <v>1195</v>
      </c>
      <c r="AP22" s="730"/>
      <c r="AQ22" s="731"/>
    </row>
    <row r="23" spans="1:44" s="698" customFormat="1" ht="16.5" x14ac:dyDescent="0.3">
      <c r="D23" s="752"/>
      <c r="E23" s="753"/>
      <c r="F23" s="753"/>
      <c r="G23" s="753"/>
      <c r="H23" s="752"/>
      <c r="I23" s="753"/>
      <c r="J23" s="753"/>
      <c r="K23" s="753"/>
      <c r="L23" s="752"/>
      <c r="M23" s="753"/>
      <c r="N23" s="753"/>
      <c r="O23" s="753"/>
      <c r="P23" s="752"/>
      <c r="Q23" s="753"/>
      <c r="R23" s="753"/>
      <c r="S23" s="753"/>
      <c r="T23" s="752"/>
      <c r="U23" s="753"/>
      <c r="V23" s="753"/>
      <c r="W23" s="753"/>
      <c r="X23" s="752"/>
      <c r="Y23" s="753"/>
      <c r="Z23" s="753"/>
      <c r="AA23" s="753"/>
      <c r="AB23" s="752"/>
      <c r="AC23" s="753"/>
      <c r="AD23" s="753"/>
      <c r="AE23" s="753"/>
      <c r="AF23" s="752"/>
      <c r="AG23" s="752"/>
      <c r="AH23" s="753"/>
      <c r="AI23" s="753"/>
      <c r="AJ23" s="753"/>
      <c r="AK23" s="752"/>
      <c r="AL23" s="753"/>
      <c r="AM23" s="753"/>
      <c r="AN23" s="753"/>
      <c r="AO23" s="755" t="s">
        <v>313</v>
      </c>
      <c r="AP23" s="734"/>
      <c r="AQ23" s="735">
        <f>AO8*0.0145</f>
        <v>71.90595414000002</v>
      </c>
    </row>
    <row r="24" spans="1:44" s="698" customFormat="1" ht="16.5" x14ac:dyDescent="0.3">
      <c r="D24" s="752"/>
      <c r="E24" s="753"/>
      <c r="F24" s="753"/>
      <c r="G24" s="753"/>
      <c r="H24" s="752"/>
      <c r="I24" s="753"/>
      <c r="J24" s="753"/>
      <c r="K24" s="753"/>
      <c r="L24" s="752"/>
      <c r="M24" s="753"/>
      <c r="N24" s="753"/>
      <c r="O24" s="753"/>
      <c r="P24" s="752"/>
      <c r="Q24" s="753"/>
      <c r="R24" s="753"/>
      <c r="S24" s="753"/>
      <c r="T24" s="752"/>
      <c r="U24" s="753"/>
      <c r="V24" s="753"/>
      <c r="W24" s="753"/>
      <c r="X24" s="752"/>
      <c r="Y24" s="753"/>
      <c r="Z24" s="753"/>
      <c r="AA24" s="753"/>
      <c r="AB24" s="752"/>
      <c r="AC24" s="753"/>
      <c r="AD24" s="753"/>
      <c r="AE24" s="753"/>
      <c r="AF24" s="752"/>
      <c r="AG24" s="752"/>
      <c r="AH24" s="753"/>
      <c r="AI24" s="753"/>
      <c r="AJ24" s="753"/>
      <c r="AK24" s="752"/>
      <c r="AL24" s="753"/>
      <c r="AM24" s="753"/>
      <c r="AN24" s="753"/>
      <c r="AO24" s="733" t="s">
        <v>314</v>
      </c>
      <c r="AP24" s="734"/>
      <c r="AQ24" s="735">
        <f>AO8*0.0009</f>
        <v>4.4631281880000007</v>
      </c>
    </row>
    <row r="25" spans="1:44" s="698" customFormat="1" ht="16.5" x14ac:dyDescent="0.3">
      <c r="D25" s="752"/>
      <c r="E25" s="753"/>
      <c r="F25" s="753"/>
      <c r="G25" s="753"/>
      <c r="H25" s="752"/>
      <c r="I25" s="753"/>
      <c r="J25" s="753"/>
      <c r="K25" s="753"/>
      <c r="L25" s="752"/>
      <c r="M25" s="753"/>
      <c r="N25" s="753"/>
      <c r="O25" s="753"/>
      <c r="P25" s="752"/>
      <c r="Q25" s="753"/>
      <c r="R25" s="753"/>
      <c r="S25" s="753"/>
      <c r="T25" s="752"/>
      <c r="U25" s="753"/>
      <c r="V25" s="753"/>
      <c r="W25" s="753"/>
      <c r="X25" s="752"/>
      <c r="Y25" s="753"/>
      <c r="Z25" s="753"/>
      <c r="AA25" s="753"/>
      <c r="AB25" s="752"/>
      <c r="AC25" s="753"/>
      <c r="AD25" s="753"/>
      <c r="AE25" s="753"/>
      <c r="AF25" s="752"/>
      <c r="AG25" s="752"/>
      <c r="AH25" s="753"/>
      <c r="AI25" s="753"/>
      <c r="AJ25" s="753"/>
      <c r="AK25" s="752"/>
      <c r="AL25" s="753"/>
      <c r="AM25" s="753"/>
      <c r="AN25" s="753"/>
      <c r="AO25" s="733" t="s">
        <v>315</v>
      </c>
      <c r="AP25" s="734"/>
      <c r="AQ25" s="735">
        <f>AO8*0.003</f>
        <v>14.877093960000003</v>
      </c>
    </row>
    <row r="26" spans="1:44" s="698" customFormat="1" ht="16.5" x14ac:dyDescent="0.3">
      <c r="D26" s="752"/>
      <c r="E26" s="753"/>
      <c r="F26" s="753"/>
      <c r="G26" s="753"/>
      <c r="H26" s="752"/>
      <c r="I26" s="753"/>
      <c r="J26" s="753"/>
      <c r="K26" s="753"/>
      <c r="L26" s="752"/>
      <c r="M26" s="753"/>
      <c r="N26" s="753"/>
      <c r="O26" s="753"/>
      <c r="P26" s="752"/>
      <c r="Q26" s="753"/>
      <c r="R26" s="753"/>
      <c r="S26" s="753"/>
      <c r="T26" s="752"/>
      <c r="U26" s="753"/>
      <c r="V26" s="753"/>
      <c r="W26" s="753"/>
      <c r="X26" s="752"/>
      <c r="Y26" s="753"/>
      <c r="Z26" s="753"/>
      <c r="AA26" s="753"/>
      <c r="AB26" s="752"/>
      <c r="AC26" s="753"/>
      <c r="AD26" s="753"/>
      <c r="AE26" s="753"/>
      <c r="AF26" s="752"/>
      <c r="AG26" s="752"/>
      <c r="AH26" s="753"/>
      <c r="AI26" s="753"/>
      <c r="AJ26" s="753"/>
      <c r="AK26" s="752"/>
      <c r="AL26" s="753"/>
      <c r="AM26" s="753"/>
      <c r="AN26" s="753"/>
      <c r="AO26" s="733" t="s">
        <v>316</v>
      </c>
      <c r="AP26" s="734"/>
      <c r="AQ26" s="735">
        <f>'County Retirement'!G9</f>
        <v>606.50367321994565</v>
      </c>
    </row>
    <row r="27" spans="1:44" s="698" customFormat="1" ht="16.5" x14ac:dyDescent="0.3">
      <c r="D27" s="752"/>
      <c r="E27" s="753"/>
      <c r="F27" s="753"/>
      <c r="G27" s="753"/>
      <c r="H27" s="752"/>
      <c r="I27" s="753"/>
      <c r="J27" s="753"/>
      <c r="K27" s="753"/>
      <c r="L27" s="752"/>
      <c r="M27" s="753"/>
      <c r="N27" s="753"/>
      <c r="O27" s="753"/>
      <c r="P27" s="752"/>
      <c r="Q27" s="753"/>
      <c r="R27" s="753"/>
      <c r="S27" s="753"/>
      <c r="T27" s="752"/>
      <c r="U27" s="753"/>
      <c r="V27" s="753"/>
      <c r="W27" s="753"/>
      <c r="X27" s="752"/>
      <c r="Y27" s="753"/>
      <c r="Z27" s="753"/>
      <c r="AA27" s="753"/>
      <c r="AB27" s="752"/>
      <c r="AC27" s="753"/>
      <c r="AD27" s="753"/>
      <c r="AE27" s="753"/>
      <c r="AF27" s="752"/>
      <c r="AG27" s="752"/>
      <c r="AH27" s="753"/>
      <c r="AI27" s="753"/>
      <c r="AJ27" s="753"/>
      <c r="AK27" s="752"/>
      <c r="AL27" s="753"/>
      <c r="AM27" s="753"/>
      <c r="AN27" s="753"/>
      <c r="AO27" s="733" t="s">
        <v>1153</v>
      </c>
      <c r="AP27" s="734"/>
      <c r="AQ27" s="756" t="s">
        <v>1093</v>
      </c>
    </row>
    <row r="28" spans="1:44" s="698" customFormat="1" ht="16.5" x14ac:dyDescent="0.3">
      <c r="D28" s="752"/>
      <c r="E28" s="753"/>
      <c r="F28" s="753"/>
      <c r="G28" s="753"/>
      <c r="H28" s="752"/>
      <c r="I28" s="753"/>
      <c r="J28" s="753"/>
      <c r="K28" s="753"/>
      <c r="L28" s="752"/>
      <c r="M28" s="753"/>
      <c r="N28" s="753"/>
      <c r="O28" s="753"/>
      <c r="P28" s="752"/>
      <c r="Q28" s="753"/>
      <c r="R28" s="753"/>
      <c r="S28" s="753"/>
      <c r="T28" s="752"/>
      <c r="U28" s="753"/>
      <c r="V28" s="753"/>
      <c r="W28" s="753"/>
      <c r="X28" s="752"/>
      <c r="Y28" s="753"/>
      <c r="Z28" s="753"/>
      <c r="AA28" s="753"/>
      <c r="AB28" s="752"/>
      <c r="AC28" s="753"/>
      <c r="AD28" s="753"/>
      <c r="AE28" s="753"/>
      <c r="AF28" s="752"/>
      <c r="AG28" s="752"/>
      <c r="AH28" s="753"/>
      <c r="AI28" s="753"/>
      <c r="AJ28" s="753"/>
      <c r="AK28" s="752"/>
      <c r="AL28" s="753"/>
      <c r="AM28" s="753"/>
      <c r="AN28" s="753"/>
      <c r="AO28" s="738"/>
      <c r="AP28" s="739"/>
      <c r="AQ28" s="740">
        <f>SUM(AQ23:AQ27)</f>
        <v>697.74984950794567</v>
      </c>
    </row>
    <row r="29" spans="1:44" x14ac:dyDescent="0.25">
      <c r="D29" s="134"/>
      <c r="E29" s="129"/>
      <c r="F29" s="129"/>
      <c r="G29" s="129"/>
      <c r="H29" s="134"/>
      <c r="I29" s="129"/>
      <c r="J29" s="129"/>
      <c r="K29" s="129"/>
      <c r="L29" s="134"/>
      <c r="M29" s="129"/>
      <c r="N29" s="129"/>
      <c r="O29" s="129"/>
      <c r="P29" s="134"/>
      <c r="Q29" s="129"/>
      <c r="R29" s="129"/>
      <c r="S29" s="129"/>
      <c r="T29" s="134"/>
      <c r="U29" s="129"/>
      <c r="V29" s="129"/>
      <c r="W29" s="129"/>
      <c r="X29" s="134"/>
      <c r="Y29" s="129"/>
      <c r="Z29" s="129"/>
      <c r="AA29" s="129"/>
      <c r="AB29" s="134"/>
      <c r="AC29" s="129"/>
      <c r="AD29" s="129"/>
      <c r="AE29" s="129"/>
      <c r="AF29" s="134"/>
      <c r="AG29" s="134"/>
      <c r="AH29" s="129"/>
      <c r="AI29" s="129"/>
      <c r="AJ29" s="129"/>
      <c r="AK29" s="134"/>
      <c r="AL29" s="129"/>
      <c r="AM29" s="129"/>
      <c r="AN29" s="129"/>
      <c r="AO29" s="131"/>
      <c r="AP29" s="131"/>
    </row>
    <row r="30" spans="1:44" x14ac:dyDescent="0.25">
      <c r="D30" s="134"/>
      <c r="E30" s="129"/>
      <c r="F30" s="129"/>
      <c r="G30" s="129"/>
      <c r="H30" s="134"/>
      <c r="I30" s="129"/>
      <c r="J30" s="129"/>
      <c r="K30" s="129"/>
      <c r="L30" s="134"/>
      <c r="M30" s="129"/>
      <c r="N30" s="129"/>
      <c r="O30" s="129"/>
      <c r="P30" s="134"/>
      <c r="Q30" s="129"/>
      <c r="R30" s="129"/>
      <c r="S30" s="129"/>
      <c r="T30" s="134"/>
      <c r="U30" s="129"/>
      <c r="V30" s="129"/>
      <c r="W30" s="129"/>
      <c r="X30" s="134"/>
      <c r="Y30" s="129"/>
      <c r="Z30" s="129"/>
      <c r="AA30" s="129"/>
      <c r="AB30" s="134"/>
      <c r="AC30" s="129"/>
      <c r="AD30" s="129"/>
      <c r="AE30" s="129"/>
      <c r="AF30" s="134"/>
      <c r="AG30" s="134"/>
      <c r="AH30" s="129"/>
      <c r="AI30" s="129"/>
      <c r="AJ30" s="129"/>
      <c r="AK30" s="134"/>
      <c r="AL30" s="129"/>
      <c r="AM30" s="129"/>
      <c r="AN30" s="129"/>
      <c r="AO30" s="131"/>
      <c r="AP30" s="131"/>
    </row>
    <row r="31" spans="1:44" x14ac:dyDescent="0.25">
      <c r="D31" s="134"/>
      <c r="E31" s="129"/>
      <c r="F31" s="129"/>
      <c r="G31" s="129"/>
      <c r="H31" s="134"/>
      <c r="I31" s="129"/>
      <c r="J31" s="129"/>
      <c r="K31" s="129"/>
      <c r="L31" s="134"/>
      <c r="M31" s="129"/>
      <c r="N31" s="129"/>
      <c r="O31" s="129"/>
      <c r="P31" s="134"/>
      <c r="Q31" s="129"/>
      <c r="R31" s="129"/>
      <c r="S31" s="129"/>
      <c r="T31" s="134"/>
      <c r="U31" s="129"/>
      <c r="V31" s="129"/>
      <c r="W31" s="129"/>
      <c r="X31" s="134"/>
      <c r="Y31" s="129"/>
      <c r="Z31" s="129"/>
      <c r="AA31" s="129"/>
      <c r="AB31" s="134"/>
      <c r="AC31" s="129"/>
      <c r="AD31" s="129"/>
      <c r="AE31" s="129"/>
      <c r="AF31" s="134"/>
      <c r="AG31" s="134"/>
      <c r="AH31" s="129"/>
      <c r="AI31" s="129"/>
      <c r="AJ31" s="129"/>
      <c r="AK31" s="134"/>
      <c r="AL31" s="129"/>
      <c r="AM31" s="129"/>
      <c r="AN31" s="129"/>
      <c r="AO31" s="131"/>
      <c r="AP31" s="131"/>
    </row>
    <row r="32" spans="1:44" x14ac:dyDescent="0.25">
      <c r="D32" s="134"/>
      <c r="E32" s="129"/>
      <c r="F32" s="129"/>
      <c r="G32" s="129"/>
      <c r="H32" s="134"/>
      <c r="I32" s="129"/>
      <c r="J32" s="129"/>
      <c r="K32" s="129"/>
      <c r="L32" s="134"/>
      <c r="M32" s="129"/>
      <c r="N32" s="129"/>
      <c r="O32" s="129"/>
      <c r="P32" s="134"/>
      <c r="Q32" s="129"/>
      <c r="R32" s="129"/>
      <c r="S32" s="129"/>
      <c r="T32" s="134"/>
      <c r="U32" s="129"/>
      <c r="V32" s="129"/>
      <c r="W32" s="129"/>
      <c r="X32" s="134"/>
      <c r="Y32" s="129"/>
      <c r="Z32" s="129"/>
      <c r="AA32" s="129"/>
      <c r="AB32" s="134"/>
      <c r="AC32" s="129"/>
      <c r="AD32" s="129"/>
      <c r="AE32" s="129"/>
      <c r="AF32" s="134"/>
      <c r="AG32" s="134"/>
      <c r="AH32" s="129"/>
      <c r="AI32" s="129"/>
      <c r="AJ32" s="129"/>
      <c r="AK32" s="134"/>
      <c r="AL32" s="129"/>
      <c r="AM32" s="129"/>
      <c r="AN32" s="129"/>
      <c r="AO32" s="131"/>
      <c r="AP32" s="131"/>
    </row>
    <row r="33" spans="4:42" x14ac:dyDescent="0.25">
      <c r="D33" s="134"/>
      <c r="E33" s="129"/>
      <c r="F33" s="129"/>
      <c r="G33" s="129"/>
      <c r="H33" s="134"/>
      <c r="I33" s="129"/>
      <c r="J33" s="129"/>
      <c r="K33" s="129"/>
      <c r="L33" s="134"/>
      <c r="M33" s="129"/>
      <c r="N33" s="129"/>
      <c r="O33" s="129"/>
      <c r="P33" s="134"/>
      <c r="Q33" s="129"/>
      <c r="R33" s="129"/>
      <c r="S33" s="129"/>
      <c r="T33" s="134"/>
      <c r="U33" s="129"/>
      <c r="V33" s="129"/>
      <c r="W33" s="129"/>
      <c r="X33" s="134"/>
      <c r="Y33" s="129"/>
      <c r="Z33" s="129"/>
      <c r="AA33" s="129"/>
      <c r="AB33" s="134"/>
      <c r="AC33" s="129"/>
      <c r="AD33" s="129"/>
      <c r="AE33" s="129"/>
      <c r="AF33" s="134"/>
      <c r="AG33" s="134"/>
      <c r="AH33" s="129"/>
      <c r="AI33" s="129"/>
      <c r="AJ33" s="129"/>
      <c r="AK33" s="134"/>
      <c r="AL33" s="129"/>
      <c r="AM33" s="129"/>
      <c r="AN33" s="129"/>
      <c r="AO33" s="131"/>
      <c r="AP33" s="131"/>
    </row>
    <row r="34" spans="4:42" x14ac:dyDescent="0.25">
      <c r="D34" s="134"/>
      <c r="E34" s="129"/>
      <c r="F34" s="129"/>
      <c r="G34" s="129"/>
      <c r="H34" s="134"/>
      <c r="I34" s="129"/>
      <c r="J34" s="129"/>
      <c r="K34" s="129"/>
      <c r="L34" s="134"/>
      <c r="M34" s="129"/>
      <c r="N34" s="129"/>
      <c r="O34" s="129"/>
      <c r="P34" s="134"/>
      <c r="Q34" s="129"/>
      <c r="R34" s="129"/>
      <c r="S34" s="129"/>
      <c r="T34" s="134"/>
      <c r="U34" s="129"/>
      <c r="V34" s="129"/>
      <c r="W34" s="129"/>
      <c r="X34" s="134"/>
      <c r="Y34" s="129"/>
      <c r="Z34" s="129"/>
      <c r="AA34" s="129"/>
      <c r="AB34" s="134"/>
      <c r="AC34" s="129"/>
      <c r="AD34" s="129"/>
      <c r="AE34" s="129"/>
      <c r="AF34" s="134"/>
      <c r="AG34" s="134"/>
      <c r="AH34" s="129"/>
      <c r="AI34" s="129"/>
      <c r="AJ34" s="129"/>
      <c r="AK34" s="134"/>
      <c r="AL34" s="129"/>
      <c r="AM34" s="129"/>
      <c r="AN34" s="129"/>
      <c r="AO34" s="131"/>
      <c r="AP34" s="131"/>
    </row>
    <row r="35" spans="4:42" x14ac:dyDescent="0.25">
      <c r="D35" s="134"/>
      <c r="E35" s="129"/>
      <c r="F35" s="129"/>
      <c r="G35" s="129"/>
      <c r="H35" s="134"/>
      <c r="I35" s="129"/>
      <c r="J35" s="129"/>
      <c r="K35" s="129"/>
      <c r="L35" s="134"/>
      <c r="M35" s="129"/>
      <c r="N35" s="129"/>
      <c r="O35" s="129"/>
      <c r="P35" s="134"/>
      <c r="Q35" s="129"/>
      <c r="R35" s="129"/>
      <c r="S35" s="129"/>
      <c r="T35" s="134"/>
      <c r="U35" s="129"/>
      <c r="V35" s="129"/>
      <c r="W35" s="129"/>
      <c r="X35" s="134"/>
      <c r="Y35" s="129"/>
      <c r="Z35" s="129"/>
      <c r="AA35" s="129"/>
      <c r="AB35" s="134"/>
      <c r="AC35" s="129"/>
      <c r="AD35" s="129"/>
      <c r="AE35" s="129"/>
      <c r="AF35" s="134"/>
      <c r="AG35" s="134"/>
      <c r="AH35" s="129"/>
      <c r="AI35" s="129"/>
      <c r="AJ35" s="129"/>
      <c r="AK35" s="134"/>
      <c r="AL35" s="129"/>
      <c r="AM35" s="129"/>
      <c r="AN35" s="129"/>
      <c r="AO35" s="131"/>
      <c r="AP35" s="131"/>
    </row>
    <row r="36" spans="4:42" x14ac:dyDescent="0.25">
      <c r="D36" s="134"/>
      <c r="E36" s="129"/>
      <c r="F36" s="129"/>
      <c r="G36" s="129"/>
      <c r="H36" s="134"/>
      <c r="I36" s="129"/>
      <c r="J36" s="129"/>
      <c r="K36" s="129"/>
      <c r="L36" s="134"/>
      <c r="M36" s="129"/>
      <c r="N36" s="129"/>
      <c r="O36" s="129"/>
      <c r="P36" s="134"/>
      <c r="Q36" s="129"/>
      <c r="R36" s="129"/>
      <c r="S36" s="129"/>
      <c r="T36" s="134"/>
      <c r="U36" s="129"/>
      <c r="V36" s="129"/>
      <c r="W36" s="129"/>
      <c r="X36" s="134"/>
      <c r="Y36" s="129"/>
      <c r="Z36" s="129"/>
      <c r="AA36" s="129"/>
      <c r="AB36" s="134"/>
      <c r="AC36" s="129"/>
      <c r="AD36" s="129"/>
      <c r="AE36" s="129"/>
      <c r="AF36" s="134"/>
      <c r="AG36" s="134"/>
      <c r="AH36" s="129"/>
      <c r="AI36" s="129"/>
      <c r="AJ36" s="129"/>
      <c r="AK36" s="134"/>
      <c r="AL36" s="129"/>
      <c r="AM36" s="129"/>
      <c r="AN36" s="129"/>
      <c r="AO36" s="131"/>
      <c r="AP36" s="131"/>
    </row>
    <row r="37" spans="4:42" x14ac:dyDescent="0.25">
      <c r="D37" s="134"/>
      <c r="E37" s="129"/>
      <c r="F37" s="129"/>
      <c r="G37" s="129"/>
      <c r="H37" s="134"/>
      <c r="I37" s="129"/>
      <c r="J37" s="129"/>
      <c r="K37" s="129"/>
      <c r="L37" s="134"/>
      <c r="M37" s="129"/>
      <c r="N37" s="129"/>
      <c r="O37" s="129"/>
      <c r="P37" s="134"/>
      <c r="Q37" s="129"/>
      <c r="R37" s="129"/>
      <c r="S37" s="129"/>
      <c r="T37" s="134"/>
      <c r="U37" s="129"/>
      <c r="V37" s="129"/>
      <c r="W37" s="129"/>
      <c r="X37" s="134"/>
      <c r="Y37" s="129"/>
      <c r="Z37" s="129"/>
      <c r="AA37" s="129"/>
      <c r="AB37" s="134"/>
      <c r="AC37" s="129"/>
      <c r="AD37" s="129"/>
      <c r="AE37" s="129"/>
      <c r="AF37" s="134"/>
      <c r="AG37" s="134"/>
      <c r="AH37" s="129"/>
      <c r="AI37" s="129"/>
      <c r="AJ37" s="129"/>
      <c r="AK37" s="134"/>
      <c r="AL37" s="129"/>
      <c r="AM37" s="129"/>
      <c r="AN37" s="129"/>
      <c r="AO37" s="131"/>
      <c r="AP37" s="131"/>
    </row>
    <row r="38" spans="4:42" x14ac:dyDescent="0.25">
      <c r="D38" s="134"/>
      <c r="E38" s="129"/>
      <c r="F38" s="129"/>
      <c r="G38" s="129"/>
      <c r="H38" s="134"/>
      <c r="I38" s="129"/>
      <c r="J38" s="129"/>
      <c r="K38" s="129"/>
      <c r="L38" s="134"/>
      <c r="M38" s="129"/>
      <c r="N38" s="129"/>
      <c r="O38" s="129"/>
      <c r="P38" s="134"/>
      <c r="Q38" s="129"/>
      <c r="R38" s="129"/>
      <c r="S38" s="129"/>
      <c r="T38" s="134"/>
      <c r="U38" s="129"/>
      <c r="V38" s="129"/>
      <c r="W38" s="129"/>
      <c r="X38" s="134"/>
      <c r="Y38" s="129"/>
      <c r="Z38" s="129"/>
      <c r="AA38" s="129"/>
      <c r="AB38" s="134"/>
      <c r="AC38" s="129"/>
      <c r="AD38" s="129"/>
      <c r="AE38" s="129"/>
      <c r="AF38" s="134"/>
      <c r="AG38" s="134"/>
      <c r="AH38" s="129"/>
      <c r="AI38" s="129"/>
      <c r="AJ38" s="129"/>
      <c r="AK38" s="134"/>
      <c r="AL38" s="129"/>
      <c r="AM38" s="129"/>
      <c r="AN38" s="129"/>
      <c r="AO38" s="131"/>
      <c r="AP38" s="131"/>
    </row>
    <row r="39" spans="4:42" x14ac:dyDescent="0.25">
      <c r="D39" s="134"/>
      <c r="E39" s="129"/>
      <c r="F39" s="129"/>
      <c r="G39" s="129"/>
      <c r="H39" s="134"/>
      <c r="I39" s="129"/>
      <c r="J39" s="129"/>
      <c r="K39" s="129"/>
      <c r="L39" s="134"/>
      <c r="M39" s="129"/>
      <c r="N39" s="129"/>
      <c r="O39" s="129"/>
      <c r="P39" s="134"/>
      <c r="Q39" s="129"/>
      <c r="R39" s="129"/>
      <c r="S39" s="129"/>
      <c r="T39" s="134"/>
      <c r="U39" s="129"/>
      <c r="V39" s="129"/>
      <c r="W39" s="129"/>
      <c r="X39" s="134"/>
      <c r="Y39" s="129"/>
      <c r="Z39" s="129"/>
      <c r="AA39" s="129"/>
      <c r="AB39" s="134"/>
      <c r="AC39" s="129"/>
      <c r="AD39" s="129"/>
      <c r="AE39" s="129"/>
      <c r="AF39" s="134"/>
      <c r="AG39" s="134"/>
      <c r="AH39" s="129"/>
      <c r="AI39" s="129"/>
      <c r="AJ39" s="129"/>
      <c r="AK39" s="134"/>
      <c r="AL39" s="129"/>
      <c r="AM39" s="129"/>
      <c r="AN39" s="129"/>
      <c r="AO39" s="131"/>
      <c r="AP39" s="131"/>
    </row>
    <row r="40" spans="4:42" x14ac:dyDescent="0.25">
      <c r="D40" s="134"/>
      <c r="E40" s="129"/>
      <c r="F40" s="129"/>
      <c r="G40" s="129"/>
      <c r="H40" s="134"/>
      <c r="I40" s="129"/>
      <c r="J40" s="129"/>
      <c r="K40" s="129"/>
      <c r="L40" s="134"/>
      <c r="M40" s="129"/>
      <c r="N40" s="129"/>
      <c r="O40" s="129"/>
      <c r="P40" s="134"/>
      <c r="Q40" s="129"/>
      <c r="R40" s="129"/>
      <c r="S40" s="129"/>
      <c r="T40" s="134"/>
      <c r="U40" s="129"/>
      <c r="V40" s="129"/>
      <c r="W40" s="129"/>
      <c r="X40" s="134"/>
      <c r="Y40" s="129"/>
      <c r="Z40" s="129"/>
      <c r="AA40" s="129"/>
      <c r="AB40" s="134"/>
      <c r="AC40" s="129"/>
      <c r="AD40" s="129"/>
      <c r="AE40" s="129"/>
      <c r="AF40" s="134"/>
      <c r="AG40" s="134"/>
      <c r="AH40" s="129"/>
      <c r="AI40" s="129"/>
      <c r="AJ40" s="129"/>
      <c r="AK40" s="134"/>
      <c r="AL40" s="129"/>
      <c r="AM40" s="129"/>
      <c r="AN40" s="129"/>
      <c r="AO40" s="131"/>
      <c r="AP40" s="131"/>
    </row>
    <row r="41" spans="4:42" x14ac:dyDescent="0.25">
      <c r="D41" s="134"/>
      <c r="E41" s="129"/>
      <c r="F41" s="129"/>
      <c r="G41" s="129"/>
      <c r="H41" s="134"/>
      <c r="I41" s="129"/>
      <c r="J41" s="129"/>
      <c r="K41" s="129"/>
      <c r="L41" s="134"/>
      <c r="M41" s="129"/>
      <c r="N41" s="129"/>
      <c r="O41" s="129"/>
      <c r="P41" s="134"/>
      <c r="Q41" s="129"/>
      <c r="R41" s="129"/>
      <c r="S41" s="129"/>
      <c r="T41" s="134"/>
      <c r="U41" s="129"/>
      <c r="V41" s="129"/>
      <c r="W41" s="129"/>
      <c r="X41" s="134"/>
      <c r="Y41" s="129"/>
      <c r="Z41" s="129"/>
      <c r="AA41" s="129"/>
      <c r="AB41" s="134"/>
      <c r="AC41" s="129"/>
      <c r="AD41" s="129"/>
      <c r="AE41" s="129"/>
      <c r="AF41" s="134"/>
      <c r="AG41" s="134"/>
      <c r="AH41" s="129"/>
      <c r="AI41" s="129"/>
      <c r="AJ41" s="129"/>
      <c r="AK41" s="134"/>
      <c r="AL41" s="129"/>
      <c r="AM41" s="129"/>
      <c r="AN41" s="129"/>
      <c r="AO41" s="131"/>
      <c r="AP41" s="131"/>
    </row>
    <row r="42" spans="4:42" x14ac:dyDescent="0.25">
      <c r="D42" s="134"/>
      <c r="E42" s="129"/>
      <c r="F42" s="129"/>
      <c r="G42" s="129"/>
      <c r="H42" s="134"/>
      <c r="I42" s="129"/>
      <c r="J42" s="129"/>
      <c r="K42" s="129"/>
      <c r="L42" s="134"/>
      <c r="M42" s="129"/>
      <c r="N42" s="129"/>
      <c r="O42" s="129"/>
      <c r="P42" s="134"/>
      <c r="Q42" s="129"/>
      <c r="R42" s="129"/>
      <c r="S42" s="129"/>
      <c r="T42" s="134"/>
      <c r="U42" s="129"/>
      <c r="V42" s="129"/>
      <c r="W42" s="129"/>
      <c r="X42" s="134"/>
      <c r="Y42" s="129"/>
      <c r="Z42" s="129"/>
      <c r="AA42" s="129"/>
      <c r="AB42" s="134"/>
      <c r="AC42" s="129"/>
      <c r="AD42" s="129"/>
      <c r="AE42" s="129"/>
      <c r="AF42" s="134"/>
      <c r="AG42" s="134"/>
      <c r="AH42" s="129"/>
      <c r="AI42" s="129"/>
      <c r="AJ42" s="129"/>
      <c r="AK42" s="134"/>
      <c r="AL42" s="129"/>
      <c r="AM42" s="129"/>
      <c r="AN42" s="129"/>
      <c r="AO42" s="131"/>
      <c r="AP42" s="131"/>
    </row>
    <row r="43" spans="4:42" x14ac:dyDescent="0.25">
      <c r="D43" s="134"/>
      <c r="E43" s="129"/>
      <c r="F43" s="129"/>
      <c r="G43" s="129"/>
      <c r="H43" s="134"/>
      <c r="I43" s="129"/>
      <c r="J43" s="129"/>
      <c r="K43" s="129"/>
      <c r="L43" s="134"/>
      <c r="M43" s="129"/>
      <c r="N43" s="129"/>
      <c r="O43" s="129"/>
      <c r="P43" s="134"/>
      <c r="Q43" s="129"/>
      <c r="R43" s="129"/>
      <c r="S43" s="129"/>
      <c r="T43" s="134"/>
      <c r="U43" s="129"/>
      <c r="V43" s="129"/>
      <c r="W43" s="129"/>
      <c r="X43" s="134"/>
      <c r="Y43" s="129"/>
      <c r="Z43" s="129"/>
      <c r="AA43" s="129"/>
      <c r="AB43" s="134"/>
      <c r="AC43" s="129"/>
      <c r="AD43" s="129"/>
      <c r="AE43" s="129"/>
      <c r="AF43" s="134"/>
      <c r="AG43" s="134"/>
      <c r="AH43" s="129"/>
      <c r="AI43" s="129"/>
      <c r="AJ43" s="129"/>
      <c r="AK43" s="134"/>
      <c r="AL43" s="129"/>
      <c r="AM43" s="129"/>
      <c r="AN43" s="129"/>
      <c r="AO43" s="131"/>
      <c r="AP43" s="131"/>
    </row>
    <row r="44" spans="4:42" x14ac:dyDescent="0.25">
      <c r="D44" s="134"/>
      <c r="E44" s="129"/>
      <c r="F44" s="129"/>
      <c r="G44" s="129"/>
      <c r="H44" s="134"/>
      <c r="I44" s="129"/>
      <c r="J44" s="129"/>
      <c r="K44" s="129"/>
      <c r="L44" s="134"/>
      <c r="M44" s="129"/>
      <c r="N44" s="129"/>
      <c r="O44" s="129"/>
      <c r="P44" s="134"/>
      <c r="Q44" s="129"/>
      <c r="R44" s="129"/>
      <c r="S44" s="129"/>
      <c r="T44" s="134"/>
      <c r="U44" s="129"/>
      <c r="V44" s="129"/>
      <c r="W44" s="129"/>
      <c r="X44" s="134"/>
      <c r="Y44" s="129"/>
      <c r="Z44" s="129"/>
      <c r="AA44" s="129"/>
      <c r="AB44" s="134"/>
      <c r="AC44" s="129"/>
      <c r="AD44" s="129"/>
      <c r="AE44" s="129"/>
      <c r="AF44" s="134"/>
      <c r="AG44" s="134"/>
      <c r="AH44" s="129"/>
      <c r="AI44" s="129"/>
      <c r="AJ44" s="129"/>
      <c r="AK44" s="134"/>
      <c r="AL44" s="129"/>
      <c r="AM44" s="129"/>
      <c r="AN44" s="129"/>
      <c r="AO44" s="131"/>
      <c r="AP44" s="131"/>
    </row>
    <row r="45" spans="4:42" x14ac:dyDescent="0.25">
      <c r="D45" s="134"/>
      <c r="E45" s="129"/>
      <c r="F45" s="129"/>
      <c r="G45" s="129"/>
      <c r="H45" s="134"/>
      <c r="I45" s="129"/>
      <c r="J45" s="129"/>
      <c r="K45" s="129"/>
      <c r="L45" s="134"/>
      <c r="M45" s="129"/>
      <c r="N45" s="129"/>
      <c r="O45" s="129"/>
      <c r="P45" s="134"/>
      <c r="Q45" s="129"/>
      <c r="R45" s="129"/>
      <c r="S45" s="129"/>
      <c r="T45" s="134"/>
      <c r="U45" s="129"/>
      <c r="V45" s="129"/>
      <c r="W45" s="129"/>
      <c r="X45" s="134"/>
      <c r="Y45" s="129"/>
      <c r="Z45" s="129"/>
      <c r="AA45" s="129"/>
      <c r="AB45" s="134"/>
      <c r="AC45" s="129"/>
      <c r="AD45" s="129"/>
      <c r="AE45" s="129"/>
      <c r="AF45" s="134"/>
      <c r="AG45" s="134"/>
      <c r="AH45" s="129"/>
      <c r="AI45" s="129"/>
      <c r="AJ45" s="129"/>
      <c r="AK45" s="134"/>
      <c r="AL45" s="129"/>
      <c r="AM45" s="129"/>
      <c r="AN45" s="129"/>
      <c r="AO45" s="131"/>
      <c r="AP45" s="131"/>
    </row>
    <row r="46" spans="4:42" x14ac:dyDescent="0.25">
      <c r="D46" s="120"/>
      <c r="H46" s="120"/>
      <c r="L46" s="120"/>
      <c r="P46" s="120"/>
      <c r="T46" s="120"/>
      <c r="X46" s="120"/>
      <c r="AB46" s="120"/>
      <c r="AF46" s="120"/>
      <c r="AG46" s="120"/>
      <c r="AK46" s="403"/>
    </row>
    <row r="47" spans="4:42" x14ac:dyDescent="0.25">
      <c r="D47" s="120"/>
      <c r="H47" s="120"/>
      <c r="L47" s="120"/>
      <c r="P47" s="120"/>
      <c r="T47" s="120"/>
      <c r="X47" s="120"/>
      <c r="AB47" s="120"/>
      <c r="AF47" s="120"/>
      <c r="AG47" s="120"/>
      <c r="AK47" s="403"/>
    </row>
    <row r="48" spans="4:42"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4"/>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sheetData>
  <mergeCells count="10">
    <mergeCell ref="D3:F3"/>
    <mergeCell ref="T3:V3"/>
    <mergeCell ref="X3:Z3"/>
    <mergeCell ref="AB3:AD3"/>
    <mergeCell ref="AO3:AR3"/>
    <mergeCell ref="AF3:AI3"/>
    <mergeCell ref="P3:R3"/>
    <mergeCell ref="H3:J3"/>
    <mergeCell ref="L3:N3"/>
    <mergeCell ref="AK3:AM3"/>
  </mergeCells>
  <pageMargins left="0.5" right="0.5" top="1" bottom="1" header="0.5" footer="0.5"/>
  <pageSetup paperSize="5" scale="75" orientation="landscape" r:id="rId1"/>
  <headerFooter alignWithMargins="0">
    <oddHeader>&amp;C&amp;"-,Bold"Proposed Budget &amp; Analysis Report for FY20</oddHeader>
    <oddFooter>&amp;C&amp;D&amp;T&amp;R&amp;A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R371"/>
  <sheetViews>
    <sheetView topLeftCell="B1"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2.140625" style="161" customWidth="1"/>
    <col min="4" max="4" width="11.42578125" style="211" hidden="1" customWidth="1"/>
    <col min="5" max="5" width="10.5703125" style="211" hidden="1" customWidth="1"/>
    <col min="6" max="6" width="7" style="211" hidden="1" customWidth="1"/>
    <col min="7" max="7" width="2.42578125" style="211" hidden="1" customWidth="1"/>
    <col min="8" max="8" width="11.42578125" style="211" hidden="1" customWidth="1"/>
    <col min="9" max="9" width="10.5703125" style="211" hidden="1" customWidth="1"/>
    <col min="10" max="10" width="7" style="211" hidden="1" customWidth="1"/>
    <col min="11" max="11" width="2.42578125" style="211" hidden="1" customWidth="1"/>
    <col min="12" max="12" width="11.42578125" style="211" hidden="1" customWidth="1"/>
    <col min="13" max="13" width="10.5703125" style="211" hidden="1" customWidth="1"/>
    <col min="14" max="14" width="7" style="211" hidden="1" customWidth="1"/>
    <col min="15" max="15" width="2.42578125" style="211" hidden="1" customWidth="1"/>
    <col min="16" max="16" width="11.42578125" style="211" hidden="1" customWidth="1"/>
    <col min="17" max="17" width="10.5703125" style="211" hidden="1" customWidth="1"/>
    <col min="18" max="18" width="7" style="211" hidden="1" customWidth="1"/>
    <col min="19" max="19" width="2.42578125" style="211" hidden="1" customWidth="1"/>
    <col min="20" max="20" width="11.42578125" style="161" hidden="1" customWidth="1"/>
    <col min="21" max="21" width="10.5703125" style="161" hidden="1" customWidth="1"/>
    <col min="22" max="22" width="7" style="161" hidden="1" customWidth="1"/>
    <col min="23" max="23" width="2.42578125" style="161" hidden="1" customWidth="1"/>
    <col min="24" max="25" width="11.5703125" style="161" hidden="1" customWidth="1"/>
    <col min="26" max="26" width="9.42578125" style="161" hidden="1" customWidth="1"/>
    <col min="27" max="27" width="2.42578125" style="161" hidden="1" customWidth="1"/>
    <col min="28" max="28" width="13.140625" style="161" customWidth="1"/>
    <col min="29" max="29" width="10.5703125" style="161" bestFit="1" customWidth="1"/>
    <col min="30" max="30" width="10.140625" style="161" customWidth="1"/>
    <col min="31" max="31" width="3.5703125" style="211" customWidth="1"/>
    <col min="32" max="32" width="11.5703125" style="211" hidden="1" customWidth="1"/>
    <col min="33" max="34" width="11.5703125" style="211" customWidth="1"/>
    <col min="35" max="35" width="10.140625" style="211" customWidth="1"/>
    <col min="36" max="36" width="3.28515625" style="161" customWidth="1"/>
    <col min="37" max="37" width="11.5703125" style="394" customWidth="1"/>
    <col min="38" max="38" width="10.5703125" style="394" bestFit="1" customWidth="1"/>
    <col min="39" max="39" width="10.140625" style="394" customWidth="1"/>
    <col min="40" max="40" width="3.140625" style="394" customWidth="1"/>
    <col min="41" max="41" width="13.5703125" style="104" customWidth="1"/>
    <col min="42" max="42" width="11.7109375" style="104" customWidth="1"/>
    <col min="43" max="43" width="11.5703125" style="161" bestFit="1" customWidth="1"/>
    <col min="44" max="44" width="33" style="161" customWidth="1"/>
    <col min="45" max="16384" width="9.140625" style="161"/>
  </cols>
  <sheetData>
    <row r="1" spans="1:44" s="211" customFormat="1" x14ac:dyDescent="0.25">
      <c r="G1" s="213"/>
      <c r="K1" s="213"/>
      <c r="O1" s="213"/>
      <c r="S1" s="213"/>
      <c r="W1" s="213"/>
      <c r="AA1" s="213"/>
      <c r="AE1" s="213"/>
      <c r="AK1" s="394"/>
      <c r="AL1" s="394"/>
      <c r="AM1" s="394"/>
      <c r="AN1" s="397"/>
      <c r="AO1" s="212"/>
      <c r="AP1" s="212"/>
    </row>
    <row r="2" spans="1:44" s="211" customFormat="1" x14ac:dyDescent="0.25">
      <c r="G2" s="213"/>
      <c r="K2" s="213"/>
      <c r="O2" s="213"/>
      <c r="S2" s="213"/>
      <c r="W2" s="213"/>
      <c r="AA2" s="213"/>
      <c r="AE2" s="213"/>
      <c r="AK2" s="394"/>
      <c r="AL2" s="394"/>
      <c r="AM2" s="394"/>
      <c r="AN2" s="397"/>
      <c r="AO2" s="212"/>
      <c r="AP2" s="212"/>
    </row>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319"/>
      <c r="AK3" s="807" t="s">
        <v>1592</v>
      </c>
      <c r="AL3" s="808"/>
      <c r="AM3" s="809"/>
      <c r="AN3" s="118"/>
      <c r="AO3" s="805" t="s">
        <v>1593</v>
      </c>
      <c r="AP3" s="805"/>
      <c r="AQ3" s="805"/>
      <c r="AR3" s="805"/>
    </row>
    <row r="4" spans="1:44" ht="27" x14ac:dyDescent="0.25">
      <c r="A4" s="271" t="s">
        <v>272</v>
      </c>
      <c r="B4" s="271"/>
      <c r="C4" s="308" t="s">
        <v>1663</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ht="14.25" x14ac:dyDescent="0.3">
      <c r="A6" s="161" t="s">
        <v>386</v>
      </c>
      <c r="B6" s="119" t="str">
        <f>MID(A6,14,4)</f>
        <v>5109</v>
      </c>
      <c r="C6" s="161" t="s">
        <v>4</v>
      </c>
      <c r="D6" s="245">
        <v>28896</v>
      </c>
      <c r="E6" s="245">
        <v>28896</v>
      </c>
      <c r="F6" s="216"/>
      <c r="G6" s="213"/>
      <c r="H6" s="245">
        <v>30705</v>
      </c>
      <c r="I6" s="245">
        <v>30705</v>
      </c>
      <c r="J6" s="216"/>
      <c r="K6" s="213"/>
      <c r="L6" s="245">
        <v>32699.65</v>
      </c>
      <c r="M6" s="245">
        <v>32699.68</v>
      </c>
      <c r="N6" s="216"/>
      <c r="O6" s="213"/>
      <c r="P6" s="245">
        <v>34628.959999999999</v>
      </c>
      <c r="Q6" s="245">
        <v>34628.879999999997</v>
      </c>
      <c r="R6" s="216"/>
      <c r="S6" s="213"/>
      <c r="T6" s="162">
        <v>36371.919999999998</v>
      </c>
      <c r="U6" s="162">
        <v>36302.239999999998</v>
      </c>
      <c r="V6" s="80"/>
      <c r="W6" s="103"/>
      <c r="X6" s="162">
        <v>39020.18</v>
      </c>
      <c r="Y6" s="162">
        <v>39020.18</v>
      </c>
      <c r="Z6" s="80">
        <v>7.2810563753577001E-2</v>
      </c>
      <c r="AA6" s="103"/>
      <c r="AB6" s="162">
        <v>40647.1</v>
      </c>
      <c r="AC6" s="162">
        <v>40647.089999999997</v>
      </c>
      <c r="AD6" s="80">
        <f>(AB6-X6)/X6</f>
        <v>4.1694323296304583E-2</v>
      </c>
      <c r="AE6" s="213"/>
      <c r="AF6" s="245">
        <v>42455.83</v>
      </c>
      <c r="AG6" s="372">
        <v>46215.79</v>
      </c>
      <c r="AH6" s="245">
        <v>46215.79</v>
      </c>
      <c r="AI6" s="216">
        <f>(AG6-AB6)/AB6</f>
        <v>0.13700091765464209</v>
      </c>
      <c r="AJ6" s="80"/>
      <c r="AK6" s="398">
        <v>48737.05</v>
      </c>
      <c r="AL6" s="398">
        <v>23341.5</v>
      </c>
      <c r="AM6" s="396">
        <f>(AK6-AG6)/AG6</f>
        <v>5.4554082057236324E-2</v>
      </c>
      <c r="AN6" s="397"/>
      <c r="AO6" s="163">
        <f>'FY20 Payroll Schedule'!J23</f>
        <v>51554.286</v>
      </c>
      <c r="AP6" s="212">
        <f>AO6-AK6</f>
        <v>2817.2359999999971</v>
      </c>
      <c r="AQ6" s="396">
        <f>(AO6-AK6)/AK6</f>
        <v>5.7804811739733876E-2</v>
      </c>
      <c r="AR6" s="156" t="s">
        <v>1742</v>
      </c>
    </row>
    <row r="7" spans="1:44" s="394" customFormat="1" ht="14.25" x14ac:dyDescent="0.3">
      <c r="A7" s="395" t="s">
        <v>1747</v>
      </c>
      <c r="B7" s="395">
        <v>5142</v>
      </c>
      <c r="C7" s="394" t="s">
        <v>1455</v>
      </c>
      <c r="D7" s="398"/>
      <c r="E7" s="398"/>
      <c r="F7" s="396"/>
      <c r="G7" s="397"/>
      <c r="H7" s="398"/>
      <c r="I7" s="398"/>
      <c r="J7" s="396"/>
      <c r="K7" s="397"/>
      <c r="L7" s="398"/>
      <c r="M7" s="398"/>
      <c r="N7" s="396"/>
      <c r="O7" s="397"/>
      <c r="P7" s="398"/>
      <c r="Q7" s="398"/>
      <c r="R7" s="396"/>
      <c r="S7" s="397"/>
      <c r="T7" s="398"/>
      <c r="U7" s="398"/>
      <c r="V7" s="396"/>
      <c r="W7" s="397"/>
      <c r="X7" s="398"/>
      <c r="Y7" s="398"/>
      <c r="Z7" s="396"/>
      <c r="AA7" s="397"/>
      <c r="AB7" s="398"/>
      <c r="AC7" s="398"/>
      <c r="AD7" s="396"/>
      <c r="AE7" s="397"/>
      <c r="AF7" s="398"/>
      <c r="AG7" s="372"/>
      <c r="AH7" s="398"/>
      <c r="AI7" s="396"/>
      <c r="AJ7" s="396"/>
      <c r="AK7" s="398"/>
      <c r="AL7" s="398"/>
      <c r="AM7" s="396"/>
      <c r="AN7" s="397"/>
      <c r="AO7" s="163">
        <f>'FY20 Payroll Schedule'!K23</f>
        <v>515.54286000000002</v>
      </c>
      <c r="AP7" s="399">
        <f>AO7-AK7</f>
        <v>515.54286000000002</v>
      </c>
      <c r="AQ7" s="396"/>
      <c r="AR7" s="156" t="s">
        <v>1748</v>
      </c>
    </row>
    <row r="8" spans="1:44" s="114" customFormat="1" x14ac:dyDescent="0.25">
      <c r="A8" s="224"/>
      <c r="B8" s="224"/>
      <c r="C8" s="224" t="s">
        <v>26</v>
      </c>
      <c r="D8" s="225">
        <f>SUM(D6:D6)</f>
        <v>28896</v>
      </c>
      <c r="E8" s="225">
        <f>SUM(E6:E6)</f>
        <v>28896</v>
      </c>
      <c r="F8" s="226">
        <v>6.5000000000000002E-2</v>
      </c>
      <c r="G8" s="224"/>
      <c r="H8" s="225">
        <f>SUM(H6:H6)</f>
        <v>30705</v>
      </c>
      <c r="I8" s="225">
        <f>SUM(I6:I6)</f>
        <v>30705</v>
      </c>
      <c r="J8" s="226">
        <v>6.5000000000000002E-2</v>
      </c>
      <c r="K8" s="224"/>
      <c r="L8" s="225">
        <f>SUM(L6:L6)</f>
        <v>32699.65</v>
      </c>
      <c r="M8" s="225">
        <f>SUM(M6:M6)</f>
        <v>32699.68</v>
      </c>
      <c r="N8" s="226">
        <v>6.5000000000000002E-2</v>
      </c>
      <c r="O8" s="224"/>
      <c r="P8" s="225">
        <f>SUM(P6:P6)</f>
        <v>34628.959999999999</v>
      </c>
      <c r="Q8" s="225">
        <f>SUM(Q6:Q6)</f>
        <v>34628.879999999997</v>
      </c>
      <c r="R8" s="226">
        <v>6.5000000000000002E-2</v>
      </c>
      <c r="S8" s="224"/>
      <c r="T8" s="225">
        <f>SUM(T6:T6)</f>
        <v>36371.919999999998</v>
      </c>
      <c r="U8" s="225">
        <f>SUM(U6:U6)</f>
        <v>36302.239999999998</v>
      </c>
      <c r="V8" s="226">
        <v>6.5000000000000002E-2</v>
      </c>
      <c r="W8" s="224"/>
      <c r="X8" s="225">
        <f>SUM(X6:X6)</f>
        <v>39020.18</v>
      </c>
      <c r="Y8" s="225">
        <f>SUM(Y6:Y6)</f>
        <v>39020.18</v>
      </c>
      <c r="Z8" s="226">
        <f>(X8-T8)/T8</f>
        <v>7.2810563753577001E-2</v>
      </c>
      <c r="AA8" s="224"/>
      <c r="AB8" s="225">
        <f>SUM(AB6:AB6)</f>
        <v>40647.1</v>
      </c>
      <c r="AC8" s="225">
        <f>SUM(AC6:AC6)</f>
        <v>40647.089999999997</v>
      </c>
      <c r="AD8" s="226">
        <f>(AB8-X8)/X8</f>
        <v>4.1694323296304583E-2</v>
      </c>
      <c r="AE8" s="224"/>
      <c r="AF8" s="225">
        <f>SUM(AF6:AF6)</f>
        <v>42455.83</v>
      </c>
      <c r="AG8" s="378">
        <f>SUM(AG6:AG6)</f>
        <v>46215.79</v>
      </c>
      <c r="AH8" s="225">
        <f>SUM(AH6:AH6)</f>
        <v>46215.79</v>
      </c>
      <c r="AI8" s="226">
        <f>(AG8-AB8)/AB8</f>
        <v>0.13700091765464209</v>
      </c>
      <c r="AJ8" s="226"/>
      <c r="AK8" s="225">
        <f>SUM(AK6:AK6)</f>
        <v>48737.05</v>
      </c>
      <c r="AL8" s="225">
        <f>SUM(AL6:AL6)</f>
        <v>23341.5</v>
      </c>
      <c r="AM8" s="226">
        <f>(AK8-AG8)/AG8</f>
        <v>5.4554082057236324E-2</v>
      </c>
      <c r="AN8" s="224"/>
      <c r="AO8" s="225">
        <f>SUM(AO6:AO7)</f>
        <v>52069.828860000001</v>
      </c>
      <c r="AP8" s="225">
        <f>SUM(AP6:AP7)</f>
        <v>3332.7788599999972</v>
      </c>
      <c r="AQ8" s="226">
        <f>(AO8-AK8)/AK8</f>
        <v>6.8382859857131245E-2</v>
      </c>
      <c r="AR8" s="224"/>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Q10" s="396"/>
      <c r="AR10" s="111"/>
    </row>
    <row r="11" spans="1:44" s="211" customFormat="1" ht="14.25" x14ac:dyDescent="0.3">
      <c r="A11" s="211" t="s">
        <v>387</v>
      </c>
      <c r="B11" s="214" t="str">
        <f t="shared" ref="B11:B24" si="0">MID(A11,14,4)</f>
        <v>5303</v>
      </c>
      <c r="C11" s="213" t="s">
        <v>1495</v>
      </c>
      <c r="D11" s="245">
        <v>600</v>
      </c>
      <c r="E11" s="245">
        <v>673.54</v>
      </c>
      <c r="F11" s="216"/>
      <c r="G11" s="213"/>
      <c r="H11" s="245">
        <v>1000</v>
      </c>
      <c r="I11" s="245">
        <v>25</v>
      </c>
      <c r="J11" s="216"/>
      <c r="K11" s="213"/>
      <c r="L11" s="245">
        <v>600</v>
      </c>
      <c r="M11" s="245">
        <v>133</v>
      </c>
      <c r="N11" s="216"/>
      <c r="O11" s="213"/>
      <c r="P11" s="245">
        <v>600</v>
      </c>
      <c r="Q11" s="245">
        <v>92.72</v>
      </c>
      <c r="R11" s="216"/>
      <c r="S11" s="213"/>
      <c r="T11" s="245">
        <v>727</v>
      </c>
      <c r="U11" s="245">
        <v>100</v>
      </c>
      <c r="V11" s="216"/>
      <c r="W11" s="213"/>
      <c r="X11" s="245">
        <v>550</v>
      </c>
      <c r="Y11" s="245">
        <v>17</v>
      </c>
      <c r="Z11" s="216">
        <v>-0.24346629986244842</v>
      </c>
      <c r="AA11" s="213"/>
      <c r="AB11" s="245">
        <v>100</v>
      </c>
      <c r="AC11" s="245">
        <v>103</v>
      </c>
      <c r="AD11" s="216">
        <f t="shared" ref="AD11:AD24" si="1">(AB11-X11)/X11</f>
        <v>-0.81818181818181823</v>
      </c>
      <c r="AE11" s="213"/>
      <c r="AF11" s="245">
        <v>538</v>
      </c>
      <c r="AG11" s="398">
        <v>538</v>
      </c>
      <c r="AH11" s="245">
        <v>80</v>
      </c>
      <c r="AI11" s="396">
        <f t="shared" ref="AI11:AI24" si="2">(AG11-AB11)/AB11</f>
        <v>4.38</v>
      </c>
      <c r="AJ11" s="216"/>
      <c r="AK11" s="398">
        <v>538</v>
      </c>
      <c r="AL11" s="398">
        <v>15</v>
      </c>
      <c r="AM11" s="396">
        <f t="shared" ref="AM11:AM24" si="3">(AK11-AG11)/AG11</f>
        <v>0</v>
      </c>
      <c r="AN11" s="397"/>
      <c r="AO11" s="163">
        <v>100</v>
      </c>
      <c r="AP11" s="399">
        <f t="shared" ref="AP11:AP26" si="4">AO11-AK11</f>
        <v>-438</v>
      </c>
      <c r="AQ11" s="396">
        <f t="shared" ref="AQ11:AQ24" si="5">(AO11-AK11)/AK11</f>
        <v>-0.81412639405204457</v>
      </c>
      <c r="AR11" s="520" t="s">
        <v>2024</v>
      </c>
    </row>
    <row r="12" spans="1:44" ht="14.25" x14ac:dyDescent="0.3">
      <c r="A12" s="161" t="s">
        <v>388</v>
      </c>
      <c r="B12" s="119" t="str">
        <f t="shared" si="0"/>
        <v>5306</v>
      </c>
      <c r="C12" s="213" t="s">
        <v>1599</v>
      </c>
      <c r="D12" s="245">
        <v>50</v>
      </c>
      <c r="E12" s="245">
        <v>0</v>
      </c>
      <c r="F12" s="216"/>
      <c r="G12" s="213"/>
      <c r="H12" s="245">
        <v>50</v>
      </c>
      <c r="I12" s="245">
        <v>0</v>
      </c>
      <c r="J12" s="216"/>
      <c r="K12" s="213"/>
      <c r="L12" s="245">
        <v>50</v>
      </c>
      <c r="M12" s="245">
        <v>0</v>
      </c>
      <c r="N12" s="216"/>
      <c r="O12" s="213"/>
      <c r="P12" s="245">
        <v>50</v>
      </c>
      <c r="Q12" s="245">
        <v>0</v>
      </c>
      <c r="R12" s="216"/>
      <c r="S12" s="213"/>
      <c r="T12" s="245">
        <v>50</v>
      </c>
      <c r="U12" s="245">
        <v>0</v>
      </c>
      <c r="V12" s="216"/>
      <c r="W12" s="213"/>
      <c r="X12" s="245">
        <v>50</v>
      </c>
      <c r="Y12" s="245">
        <v>0</v>
      </c>
      <c r="Z12" s="216">
        <v>0</v>
      </c>
      <c r="AA12" s="213"/>
      <c r="AB12" s="245">
        <v>50</v>
      </c>
      <c r="AC12" s="245">
        <v>0</v>
      </c>
      <c r="AD12" s="216">
        <f t="shared" si="1"/>
        <v>0</v>
      </c>
      <c r="AE12" s="213"/>
      <c r="AF12" s="245">
        <v>50</v>
      </c>
      <c r="AG12" s="398">
        <v>50</v>
      </c>
      <c r="AH12" s="245">
        <v>0</v>
      </c>
      <c r="AI12" s="396">
        <f t="shared" si="2"/>
        <v>0</v>
      </c>
      <c r="AJ12" s="80"/>
      <c r="AK12" s="398">
        <v>50</v>
      </c>
      <c r="AL12" s="398">
        <v>0</v>
      </c>
      <c r="AM12" s="396">
        <f t="shared" si="3"/>
        <v>0</v>
      </c>
      <c r="AN12" s="397"/>
      <c r="AO12" s="163">
        <v>50</v>
      </c>
      <c r="AP12" s="399">
        <f t="shared" si="4"/>
        <v>0</v>
      </c>
      <c r="AQ12" s="396">
        <f t="shared" si="5"/>
        <v>0</v>
      </c>
      <c r="AR12" s="519"/>
    </row>
    <row r="13" spans="1:44" ht="14.25" x14ac:dyDescent="0.3">
      <c r="A13" s="161" t="s">
        <v>389</v>
      </c>
      <c r="B13" s="119" t="str">
        <f t="shared" si="0"/>
        <v>5309</v>
      </c>
      <c r="C13" s="213" t="s">
        <v>1638</v>
      </c>
      <c r="D13" s="245">
        <v>180</v>
      </c>
      <c r="E13" s="245">
        <v>0</v>
      </c>
      <c r="F13" s="216"/>
      <c r="G13" s="213"/>
      <c r="H13" s="245">
        <v>180</v>
      </c>
      <c r="I13" s="245">
        <v>0</v>
      </c>
      <c r="J13" s="216"/>
      <c r="K13" s="213"/>
      <c r="L13" s="245">
        <v>180</v>
      </c>
      <c r="M13" s="245">
        <v>0</v>
      </c>
      <c r="N13" s="216"/>
      <c r="O13" s="213"/>
      <c r="P13" s="245">
        <v>160</v>
      </c>
      <c r="Q13" s="245">
        <v>0</v>
      </c>
      <c r="R13" s="216"/>
      <c r="S13" s="213"/>
      <c r="T13" s="245">
        <v>320</v>
      </c>
      <c r="U13" s="245">
        <v>0</v>
      </c>
      <c r="V13" s="216"/>
      <c r="W13" s="213"/>
      <c r="X13" s="245">
        <v>160</v>
      </c>
      <c r="Y13" s="245">
        <v>0</v>
      </c>
      <c r="Z13" s="216">
        <v>-0.5</v>
      </c>
      <c r="AA13" s="213"/>
      <c r="AB13" s="245">
        <v>160</v>
      </c>
      <c r="AC13" s="245">
        <v>142.36000000000001</v>
      </c>
      <c r="AD13" s="216">
        <f t="shared" si="1"/>
        <v>0</v>
      </c>
      <c r="AE13" s="213"/>
      <c r="AF13" s="245">
        <v>160</v>
      </c>
      <c r="AG13" s="398">
        <v>160</v>
      </c>
      <c r="AH13" s="245">
        <v>0</v>
      </c>
      <c r="AI13" s="396">
        <f t="shared" si="2"/>
        <v>0</v>
      </c>
      <c r="AJ13" s="80"/>
      <c r="AK13" s="398">
        <v>160</v>
      </c>
      <c r="AL13" s="398">
        <v>0</v>
      </c>
      <c r="AM13" s="396">
        <f t="shared" si="3"/>
        <v>0</v>
      </c>
      <c r="AN13" s="397"/>
      <c r="AO13" s="163">
        <v>160</v>
      </c>
      <c r="AP13" s="399">
        <f t="shared" si="4"/>
        <v>0</v>
      </c>
      <c r="AQ13" s="396">
        <f t="shared" si="5"/>
        <v>0</v>
      </c>
      <c r="AR13" s="519"/>
    </row>
    <row r="14" spans="1:44" ht="14.25" x14ac:dyDescent="0.3">
      <c r="A14" s="161" t="s">
        <v>390</v>
      </c>
      <c r="B14" s="119" t="str">
        <f t="shared" si="0"/>
        <v>5343</v>
      </c>
      <c r="C14" s="129" t="s">
        <v>1723</v>
      </c>
      <c r="D14" s="245">
        <v>250</v>
      </c>
      <c r="E14" s="245">
        <v>0</v>
      </c>
      <c r="F14" s="216"/>
      <c r="G14" s="213"/>
      <c r="H14" s="245">
        <v>200</v>
      </c>
      <c r="I14" s="245">
        <v>24.52</v>
      </c>
      <c r="J14" s="216"/>
      <c r="K14" s="213"/>
      <c r="L14" s="245">
        <v>200</v>
      </c>
      <c r="M14" s="245">
        <v>0</v>
      </c>
      <c r="N14" s="216"/>
      <c r="O14" s="213"/>
      <c r="P14" s="245">
        <v>200</v>
      </c>
      <c r="Q14" s="245">
        <v>0</v>
      </c>
      <c r="R14" s="216"/>
      <c r="S14" s="213"/>
      <c r="T14" s="245">
        <v>200</v>
      </c>
      <c r="U14" s="245">
        <v>180</v>
      </c>
      <c r="V14" s="216"/>
      <c r="W14" s="213"/>
      <c r="X14" s="245">
        <v>200</v>
      </c>
      <c r="Y14" s="245">
        <v>0</v>
      </c>
      <c r="Z14" s="216">
        <v>0</v>
      </c>
      <c r="AA14" s="213"/>
      <c r="AB14" s="245">
        <v>200</v>
      </c>
      <c r="AC14" s="245">
        <v>0</v>
      </c>
      <c r="AD14" s="216">
        <f t="shared" si="1"/>
        <v>0</v>
      </c>
      <c r="AE14" s="213"/>
      <c r="AF14" s="245">
        <v>200</v>
      </c>
      <c r="AG14" s="398">
        <v>200</v>
      </c>
      <c r="AH14" s="245">
        <v>0</v>
      </c>
      <c r="AI14" s="396">
        <f t="shared" si="2"/>
        <v>0</v>
      </c>
      <c r="AJ14" s="80"/>
      <c r="AK14" s="398">
        <v>250</v>
      </c>
      <c r="AL14" s="398">
        <v>0</v>
      </c>
      <c r="AM14" s="396">
        <f t="shared" si="3"/>
        <v>0.25</v>
      </c>
      <c r="AN14" s="397"/>
      <c r="AO14" s="163">
        <v>250</v>
      </c>
      <c r="AP14" s="399">
        <f t="shared" si="4"/>
        <v>0</v>
      </c>
      <c r="AQ14" s="396">
        <f t="shared" si="5"/>
        <v>0</v>
      </c>
      <c r="AR14" s="519"/>
    </row>
    <row r="15" spans="1:44" s="211" customFormat="1" ht="14.25" x14ac:dyDescent="0.3">
      <c r="A15" s="211" t="s">
        <v>391</v>
      </c>
      <c r="B15" s="214" t="str">
        <f t="shared" si="0"/>
        <v>5344</v>
      </c>
      <c r="C15" s="129" t="s">
        <v>1601</v>
      </c>
      <c r="D15" s="245">
        <v>515</v>
      </c>
      <c r="E15" s="245">
        <v>619.78</v>
      </c>
      <c r="F15" s="216"/>
      <c r="G15" s="213"/>
      <c r="H15" s="245">
        <v>515</v>
      </c>
      <c r="I15" s="245">
        <v>593.80999999999995</v>
      </c>
      <c r="J15" s="216"/>
      <c r="K15" s="213"/>
      <c r="L15" s="245">
        <v>620</v>
      </c>
      <c r="M15" s="245">
        <v>793.3</v>
      </c>
      <c r="N15" s="216"/>
      <c r="O15" s="213"/>
      <c r="P15" s="245">
        <v>620</v>
      </c>
      <c r="Q15" s="245">
        <v>612.89</v>
      </c>
      <c r="R15" s="216"/>
      <c r="S15" s="213"/>
      <c r="T15" s="245">
        <v>650</v>
      </c>
      <c r="U15" s="245">
        <v>706.51</v>
      </c>
      <c r="V15" s="216"/>
      <c r="W15" s="213"/>
      <c r="X15" s="245">
        <v>750</v>
      </c>
      <c r="Y15" s="245">
        <v>629.04</v>
      </c>
      <c r="Z15" s="216">
        <v>0.15384615384615385</v>
      </c>
      <c r="AA15" s="213"/>
      <c r="AB15" s="245">
        <v>916</v>
      </c>
      <c r="AC15" s="245">
        <v>862.46</v>
      </c>
      <c r="AD15" s="216">
        <f t="shared" si="1"/>
        <v>0.22133333333333333</v>
      </c>
      <c r="AE15" s="213"/>
      <c r="AF15" s="245">
        <v>725</v>
      </c>
      <c r="AG15" s="398">
        <v>725</v>
      </c>
      <c r="AH15" s="245">
        <v>582.51</v>
      </c>
      <c r="AI15" s="396">
        <f t="shared" si="2"/>
        <v>-0.20851528384279475</v>
      </c>
      <c r="AJ15" s="216"/>
      <c r="AK15" s="398">
        <v>1025</v>
      </c>
      <c r="AL15" s="398">
        <v>203.41</v>
      </c>
      <c r="AM15" s="396">
        <f t="shared" si="3"/>
        <v>0.41379310344827586</v>
      </c>
      <c r="AN15" s="397"/>
      <c r="AO15" s="163">
        <v>1177</v>
      </c>
      <c r="AP15" s="399">
        <f t="shared" si="4"/>
        <v>152</v>
      </c>
      <c r="AQ15" s="396">
        <f t="shared" si="5"/>
        <v>0.14829268292682926</v>
      </c>
      <c r="AR15" s="520" t="s">
        <v>2023</v>
      </c>
    </row>
    <row r="16" spans="1:44" s="211" customFormat="1" ht="14.25" x14ac:dyDescent="0.3">
      <c r="A16" s="211" t="s">
        <v>392</v>
      </c>
      <c r="B16" s="214" t="str">
        <f t="shared" si="0"/>
        <v>5385</v>
      </c>
      <c r="C16" s="129" t="s">
        <v>1738</v>
      </c>
      <c r="D16" s="245">
        <v>1800</v>
      </c>
      <c r="E16" s="245">
        <v>1220.43</v>
      </c>
      <c r="F16" s="216"/>
      <c r="G16" s="213"/>
      <c r="H16" s="245">
        <v>1200</v>
      </c>
      <c r="I16" s="245">
        <v>534.25</v>
      </c>
      <c r="J16" s="216"/>
      <c r="K16" s="213"/>
      <c r="L16" s="245">
        <v>2186</v>
      </c>
      <c r="M16" s="245">
        <v>1630.36</v>
      </c>
      <c r="N16" s="216"/>
      <c r="O16" s="213"/>
      <c r="P16" s="245">
        <v>1800</v>
      </c>
      <c r="Q16" s="245">
        <v>714.25</v>
      </c>
      <c r="R16" s="216"/>
      <c r="S16" s="213"/>
      <c r="T16" s="245">
        <v>2270</v>
      </c>
      <c r="U16" s="245">
        <v>2284.4899999999998</v>
      </c>
      <c r="V16" s="216"/>
      <c r="W16" s="213"/>
      <c r="X16" s="245">
        <v>2270</v>
      </c>
      <c r="Y16" s="245">
        <v>723.69</v>
      </c>
      <c r="Z16" s="216">
        <v>0</v>
      </c>
      <c r="AA16" s="213"/>
      <c r="AB16" s="245">
        <v>3250</v>
      </c>
      <c r="AC16" s="245">
        <v>3597.86</v>
      </c>
      <c r="AD16" s="216">
        <f t="shared" si="1"/>
        <v>0.43171806167400884</v>
      </c>
      <c r="AE16" s="213"/>
      <c r="AF16" s="245">
        <v>1850</v>
      </c>
      <c r="AG16" s="398">
        <v>1850</v>
      </c>
      <c r="AH16" s="245">
        <v>489.85</v>
      </c>
      <c r="AI16" s="396">
        <f t="shared" si="2"/>
        <v>-0.43076923076923079</v>
      </c>
      <c r="AJ16" s="216"/>
      <c r="AK16" s="398">
        <v>3750</v>
      </c>
      <c r="AL16" s="398">
        <v>2369.96</v>
      </c>
      <c r="AM16" s="396">
        <f t="shared" si="3"/>
        <v>1.027027027027027</v>
      </c>
      <c r="AN16" s="397"/>
      <c r="AO16" s="163">
        <v>3250</v>
      </c>
      <c r="AP16" s="399">
        <f t="shared" si="4"/>
        <v>-500</v>
      </c>
      <c r="AQ16" s="396">
        <f t="shared" si="5"/>
        <v>-0.13333333333333333</v>
      </c>
      <c r="AR16" s="520" t="s">
        <v>2025</v>
      </c>
    </row>
    <row r="17" spans="1:44" s="211" customFormat="1" ht="14.25" x14ac:dyDescent="0.3">
      <c r="A17" s="211" t="s">
        <v>393</v>
      </c>
      <c r="B17" s="214" t="str">
        <f t="shared" si="0"/>
        <v>5386</v>
      </c>
      <c r="C17" s="129" t="s">
        <v>1739</v>
      </c>
      <c r="D17" s="245">
        <v>150</v>
      </c>
      <c r="E17" s="245">
        <v>97.5</v>
      </c>
      <c r="F17" s="216"/>
      <c r="G17" s="213"/>
      <c r="H17" s="245">
        <v>115</v>
      </c>
      <c r="I17" s="245">
        <v>116.25</v>
      </c>
      <c r="J17" s="216"/>
      <c r="K17" s="213"/>
      <c r="L17" s="245">
        <v>250</v>
      </c>
      <c r="M17" s="245">
        <v>120</v>
      </c>
      <c r="N17" s="216"/>
      <c r="O17" s="213"/>
      <c r="P17" s="245">
        <v>250</v>
      </c>
      <c r="Q17" s="245">
        <v>267.5</v>
      </c>
      <c r="R17" s="216"/>
      <c r="S17" s="213"/>
      <c r="T17" s="245">
        <v>200</v>
      </c>
      <c r="U17" s="245">
        <v>190</v>
      </c>
      <c r="V17" s="216"/>
      <c r="W17" s="213"/>
      <c r="X17" s="245">
        <v>350</v>
      </c>
      <c r="Y17" s="245">
        <v>257.5</v>
      </c>
      <c r="Z17" s="216">
        <v>0.75</v>
      </c>
      <c r="AA17" s="213"/>
      <c r="AB17" s="245">
        <v>350</v>
      </c>
      <c r="AC17" s="245">
        <v>110</v>
      </c>
      <c r="AD17" s="216">
        <f t="shared" si="1"/>
        <v>0</v>
      </c>
      <c r="AE17" s="213"/>
      <c r="AF17" s="245">
        <v>350</v>
      </c>
      <c r="AG17" s="398">
        <v>350</v>
      </c>
      <c r="AH17" s="245">
        <v>245</v>
      </c>
      <c r="AI17" s="396">
        <f t="shared" si="2"/>
        <v>0</v>
      </c>
      <c r="AJ17" s="216"/>
      <c r="AK17" s="398">
        <v>350</v>
      </c>
      <c r="AL17" s="398">
        <v>180</v>
      </c>
      <c r="AM17" s="396">
        <f t="shared" si="3"/>
        <v>0</v>
      </c>
      <c r="AN17" s="397"/>
      <c r="AO17" s="163">
        <v>350</v>
      </c>
      <c r="AP17" s="399">
        <f t="shared" si="4"/>
        <v>0</v>
      </c>
      <c r="AQ17" s="396">
        <f t="shared" si="5"/>
        <v>0</v>
      </c>
      <c r="AR17" s="519"/>
    </row>
    <row r="18" spans="1:44" s="211" customFormat="1" ht="14.25" x14ac:dyDescent="0.3">
      <c r="A18" s="211" t="s">
        <v>394</v>
      </c>
      <c r="B18" s="214" t="str">
        <f t="shared" si="0"/>
        <v>5420</v>
      </c>
      <c r="C18" s="129" t="s">
        <v>1480</v>
      </c>
      <c r="D18" s="245">
        <v>200</v>
      </c>
      <c r="E18" s="245">
        <v>590.13</v>
      </c>
      <c r="F18" s="216"/>
      <c r="G18" s="213"/>
      <c r="H18" s="245">
        <v>200</v>
      </c>
      <c r="I18" s="245">
        <v>246.03</v>
      </c>
      <c r="J18" s="216"/>
      <c r="K18" s="213"/>
      <c r="L18" s="245">
        <v>200</v>
      </c>
      <c r="M18" s="245">
        <v>227.14</v>
      </c>
      <c r="N18" s="216"/>
      <c r="O18" s="213"/>
      <c r="P18" s="245">
        <v>200</v>
      </c>
      <c r="Q18" s="245">
        <v>383.37</v>
      </c>
      <c r="R18" s="216"/>
      <c r="S18" s="213"/>
      <c r="T18" s="245">
        <v>200</v>
      </c>
      <c r="U18" s="245">
        <v>899.21</v>
      </c>
      <c r="V18" s="216"/>
      <c r="W18" s="213"/>
      <c r="X18" s="245">
        <v>200</v>
      </c>
      <c r="Y18" s="245">
        <v>550.28</v>
      </c>
      <c r="Z18" s="216">
        <v>0</v>
      </c>
      <c r="AA18" s="213"/>
      <c r="AB18" s="245">
        <v>235</v>
      </c>
      <c r="AC18" s="245">
        <v>266.12</v>
      </c>
      <c r="AD18" s="216">
        <f t="shared" si="1"/>
        <v>0.17499999999999999</v>
      </c>
      <c r="AE18" s="213"/>
      <c r="AF18" s="245">
        <v>375</v>
      </c>
      <c r="AG18" s="398">
        <v>375</v>
      </c>
      <c r="AH18" s="245">
        <v>377.13</v>
      </c>
      <c r="AI18" s="396">
        <f t="shared" si="2"/>
        <v>0.5957446808510638</v>
      </c>
      <c r="AJ18" s="216"/>
      <c r="AK18" s="398">
        <v>250</v>
      </c>
      <c r="AL18" s="398">
        <v>71.31</v>
      </c>
      <c r="AM18" s="396">
        <f t="shared" si="3"/>
        <v>-0.33333333333333331</v>
      </c>
      <c r="AN18" s="397"/>
      <c r="AO18" s="163">
        <v>250</v>
      </c>
      <c r="AP18" s="399">
        <f t="shared" si="4"/>
        <v>0</v>
      </c>
      <c r="AQ18" s="396">
        <f t="shared" si="5"/>
        <v>0</v>
      </c>
      <c r="AR18" s="518"/>
    </row>
    <row r="19" spans="1:44" s="211" customFormat="1" ht="14.25" x14ac:dyDescent="0.3">
      <c r="A19" s="211" t="s">
        <v>395</v>
      </c>
      <c r="B19" s="214" t="str">
        <f t="shared" si="0"/>
        <v>5582</v>
      </c>
      <c r="C19" s="129" t="s">
        <v>1615</v>
      </c>
      <c r="D19" s="245">
        <v>150</v>
      </c>
      <c r="E19" s="245">
        <v>108.64</v>
      </c>
      <c r="F19" s="216"/>
      <c r="G19" s="213"/>
      <c r="H19" s="245">
        <v>295</v>
      </c>
      <c r="I19" s="245">
        <v>0</v>
      </c>
      <c r="J19" s="216"/>
      <c r="K19" s="213"/>
      <c r="L19" s="245">
        <v>295</v>
      </c>
      <c r="M19" s="245">
        <v>213.99</v>
      </c>
      <c r="N19" s="216"/>
      <c r="O19" s="213"/>
      <c r="P19" s="245">
        <v>295</v>
      </c>
      <c r="Q19" s="245">
        <v>76.87</v>
      </c>
      <c r="R19" s="216"/>
      <c r="S19" s="213"/>
      <c r="T19" s="245">
        <v>800</v>
      </c>
      <c r="U19" s="245">
        <v>0</v>
      </c>
      <c r="V19" s="216"/>
      <c r="W19" s="213"/>
      <c r="X19" s="245">
        <v>295</v>
      </c>
      <c r="Y19" s="245">
        <v>0</v>
      </c>
      <c r="Z19" s="216">
        <v>-0.63124999999999998</v>
      </c>
      <c r="AA19" s="213"/>
      <c r="AB19" s="245">
        <v>2295</v>
      </c>
      <c r="AC19" s="245">
        <v>1190</v>
      </c>
      <c r="AD19" s="216">
        <f t="shared" si="1"/>
        <v>6.7796610169491522</v>
      </c>
      <c r="AE19" s="213"/>
      <c r="AF19" s="245">
        <v>750</v>
      </c>
      <c r="AG19" s="398">
        <v>750</v>
      </c>
      <c r="AH19" s="245">
        <v>0</v>
      </c>
      <c r="AI19" s="396">
        <f t="shared" si="2"/>
        <v>-0.67320261437908502</v>
      </c>
      <c r="AJ19" s="216"/>
      <c r="AK19" s="398">
        <v>350</v>
      </c>
      <c r="AL19" s="398">
        <v>0</v>
      </c>
      <c r="AM19" s="396">
        <f t="shared" si="3"/>
        <v>-0.53333333333333333</v>
      </c>
      <c r="AN19" s="397"/>
      <c r="AO19" s="163">
        <v>350</v>
      </c>
      <c r="AP19" s="399">
        <f t="shared" si="4"/>
        <v>0</v>
      </c>
      <c r="AQ19" s="396">
        <f t="shared" si="5"/>
        <v>0</v>
      </c>
      <c r="AR19" s="518"/>
    </row>
    <row r="20" spans="1:44" s="211" customFormat="1" ht="14.25" x14ac:dyDescent="0.3">
      <c r="A20" s="211" t="s">
        <v>396</v>
      </c>
      <c r="B20" s="214" t="str">
        <f t="shared" si="0"/>
        <v>5589</v>
      </c>
      <c r="C20" s="129" t="s">
        <v>1604</v>
      </c>
      <c r="D20" s="245">
        <v>323.55</v>
      </c>
      <c r="E20" s="245">
        <v>279</v>
      </c>
      <c r="F20" s="216"/>
      <c r="G20" s="213"/>
      <c r="H20" s="245">
        <v>125</v>
      </c>
      <c r="I20" s="245">
        <v>157.65</v>
      </c>
      <c r="J20" s="216"/>
      <c r="K20" s="213"/>
      <c r="L20" s="245">
        <v>125</v>
      </c>
      <c r="M20" s="245">
        <v>248.25</v>
      </c>
      <c r="N20" s="216"/>
      <c r="O20" s="213"/>
      <c r="P20" s="245">
        <v>125</v>
      </c>
      <c r="Q20" s="245">
        <v>16.47</v>
      </c>
      <c r="R20" s="216"/>
      <c r="S20" s="213"/>
      <c r="T20" s="245">
        <v>250</v>
      </c>
      <c r="U20" s="245">
        <v>0</v>
      </c>
      <c r="V20" s="216"/>
      <c r="W20" s="213"/>
      <c r="X20" s="245">
        <v>250</v>
      </c>
      <c r="Y20" s="245">
        <v>0</v>
      </c>
      <c r="Z20" s="216">
        <v>0</v>
      </c>
      <c r="AA20" s="213"/>
      <c r="AB20" s="245">
        <v>250</v>
      </c>
      <c r="AC20" s="245">
        <v>91.6</v>
      </c>
      <c r="AD20" s="216">
        <f t="shared" si="1"/>
        <v>0</v>
      </c>
      <c r="AE20" s="213"/>
      <c r="AF20" s="245">
        <v>250</v>
      </c>
      <c r="AG20" s="398">
        <v>250</v>
      </c>
      <c r="AH20" s="245">
        <v>0</v>
      </c>
      <c r="AI20" s="396">
        <f t="shared" si="2"/>
        <v>0</v>
      </c>
      <c r="AJ20" s="216"/>
      <c r="AK20" s="398">
        <v>275</v>
      </c>
      <c r="AL20" s="398">
        <v>245.14</v>
      </c>
      <c r="AM20" s="396">
        <f t="shared" si="3"/>
        <v>0.1</v>
      </c>
      <c r="AN20" s="397"/>
      <c r="AO20" s="163">
        <v>275</v>
      </c>
      <c r="AP20" s="399">
        <f t="shared" si="4"/>
        <v>0</v>
      </c>
      <c r="AQ20" s="396">
        <f t="shared" si="5"/>
        <v>0</v>
      </c>
      <c r="AR20" s="519"/>
    </row>
    <row r="21" spans="1:44" s="211" customFormat="1" ht="14.25" x14ac:dyDescent="0.3">
      <c r="A21" s="214" t="s">
        <v>1276</v>
      </c>
      <c r="B21" s="214" t="str">
        <f t="shared" si="0"/>
        <v>5592</v>
      </c>
      <c r="C21" s="213" t="s">
        <v>1740</v>
      </c>
      <c r="D21" s="245">
        <v>0</v>
      </c>
      <c r="E21" s="245">
        <v>0</v>
      </c>
      <c r="F21" s="216"/>
      <c r="G21" s="213"/>
      <c r="H21" s="245">
        <v>0</v>
      </c>
      <c r="I21" s="245">
        <v>0</v>
      </c>
      <c r="J21" s="216"/>
      <c r="K21" s="213"/>
      <c r="L21" s="245">
        <v>0</v>
      </c>
      <c r="M21" s="245">
        <v>0</v>
      </c>
      <c r="N21" s="216"/>
      <c r="O21" s="213"/>
      <c r="P21" s="245">
        <v>0</v>
      </c>
      <c r="Q21" s="245">
        <v>159.36000000000001</v>
      </c>
      <c r="R21" s="216"/>
      <c r="S21" s="213"/>
      <c r="T21" s="245">
        <v>0</v>
      </c>
      <c r="U21" s="245">
        <v>160.84</v>
      </c>
      <c r="V21" s="216"/>
      <c r="W21" s="213"/>
      <c r="X21" s="245">
        <v>180</v>
      </c>
      <c r="Y21" s="245">
        <v>38.130000000000003</v>
      </c>
      <c r="Z21" s="216" t="e">
        <v>#DIV/0!</v>
      </c>
      <c r="AA21" s="213"/>
      <c r="AB21" s="245">
        <v>180</v>
      </c>
      <c r="AC21" s="245">
        <v>39.950000000000003</v>
      </c>
      <c r="AD21" s="216">
        <f t="shared" si="1"/>
        <v>0</v>
      </c>
      <c r="AE21" s="213"/>
      <c r="AF21" s="245">
        <v>180</v>
      </c>
      <c r="AG21" s="398">
        <v>180</v>
      </c>
      <c r="AH21" s="245">
        <v>42</v>
      </c>
      <c r="AI21" s="396">
        <f t="shared" si="2"/>
        <v>0</v>
      </c>
      <c r="AJ21" s="216"/>
      <c r="AK21" s="398">
        <v>75</v>
      </c>
      <c r="AL21" s="398">
        <v>0</v>
      </c>
      <c r="AM21" s="396">
        <f t="shared" si="3"/>
        <v>-0.58333333333333337</v>
      </c>
      <c r="AN21" s="397"/>
      <c r="AO21" s="163">
        <v>75</v>
      </c>
      <c r="AP21" s="399">
        <f t="shared" si="4"/>
        <v>0</v>
      </c>
      <c r="AQ21" s="396">
        <f t="shared" si="5"/>
        <v>0</v>
      </c>
      <c r="AR21" s="519"/>
    </row>
    <row r="22" spans="1:44" s="211" customFormat="1" ht="14.25" x14ac:dyDescent="0.3">
      <c r="A22" s="211" t="s">
        <v>397</v>
      </c>
      <c r="B22" s="214" t="str">
        <f t="shared" si="0"/>
        <v>5710</v>
      </c>
      <c r="C22" s="213" t="s">
        <v>1605</v>
      </c>
      <c r="D22" s="245">
        <v>150</v>
      </c>
      <c r="E22" s="245">
        <v>306.79000000000002</v>
      </c>
      <c r="F22" s="216"/>
      <c r="G22" s="213"/>
      <c r="H22" s="245">
        <v>250</v>
      </c>
      <c r="I22" s="245">
        <v>363</v>
      </c>
      <c r="J22" s="216"/>
      <c r="K22" s="213"/>
      <c r="L22" s="245">
        <v>250</v>
      </c>
      <c r="M22" s="245">
        <v>61</v>
      </c>
      <c r="N22" s="216"/>
      <c r="O22" s="213"/>
      <c r="P22" s="245">
        <v>250</v>
      </c>
      <c r="Q22" s="245">
        <v>77</v>
      </c>
      <c r="R22" s="216"/>
      <c r="S22" s="213"/>
      <c r="T22" s="245">
        <v>95</v>
      </c>
      <c r="U22" s="245">
        <v>77.5</v>
      </c>
      <c r="V22" s="216"/>
      <c r="W22" s="213"/>
      <c r="X22" s="245">
        <v>95</v>
      </c>
      <c r="Y22" s="245">
        <v>182.38</v>
      </c>
      <c r="Z22" s="216">
        <v>0</v>
      </c>
      <c r="AA22" s="213"/>
      <c r="AB22" s="245">
        <v>890</v>
      </c>
      <c r="AC22" s="245">
        <v>400.37</v>
      </c>
      <c r="AD22" s="216">
        <f t="shared" si="1"/>
        <v>8.3684210526315788</v>
      </c>
      <c r="AE22" s="213"/>
      <c r="AF22" s="245">
        <v>415</v>
      </c>
      <c r="AG22" s="398">
        <v>415</v>
      </c>
      <c r="AH22" s="245">
        <v>77.5</v>
      </c>
      <c r="AI22" s="396">
        <f t="shared" si="2"/>
        <v>-0.5337078651685393</v>
      </c>
      <c r="AJ22" s="216"/>
      <c r="AK22" s="398">
        <v>425</v>
      </c>
      <c r="AL22" s="398">
        <v>0</v>
      </c>
      <c r="AM22" s="396">
        <f t="shared" si="3"/>
        <v>2.4096385542168676E-2</v>
      </c>
      <c r="AN22" s="397"/>
      <c r="AO22" s="163">
        <v>897.4</v>
      </c>
      <c r="AP22" s="399">
        <f t="shared" si="4"/>
        <v>472.4</v>
      </c>
      <c r="AQ22" s="396">
        <f t="shared" si="5"/>
        <v>1.1115294117647059</v>
      </c>
      <c r="AR22" s="520" t="s">
        <v>2024</v>
      </c>
    </row>
    <row r="23" spans="1:44" s="211" customFormat="1" ht="14.25" x14ac:dyDescent="0.3">
      <c r="A23" s="211" t="s">
        <v>398</v>
      </c>
      <c r="B23" s="214" t="str">
        <f t="shared" si="0"/>
        <v>5730</v>
      </c>
      <c r="C23" s="213" t="s">
        <v>1594</v>
      </c>
      <c r="D23" s="245">
        <v>45</v>
      </c>
      <c r="E23" s="245">
        <v>217.75</v>
      </c>
      <c r="F23" s="216"/>
      <c r="G23" s="213"/>
      <c r="H23" s="245">
        <v>160</v>
      </c>
      <c r="I23" s="245">
        <v>240</v>
      </c>
      <c r="J23" s="216"/>
      <c r="K23" s="213"/>
      <c r="L23" s="245">
        <v>185</v>
      </c>
      <c r="M23" s="245">
        <v>225</v>
      </c>
      <c r="N23" s="216"/>
      <c r="O23" s="213"/>
      <c r="P23" s="245">
        <v>185</v>
      </c>
      <c r="Q23" s="245">
        <v>355</v>
      </c>
      <c r="R23" s="216"/>
      <c r="S23" s="213"/>
      <c r="T23" s="245">
        <v>215</v>
      </c>
      <c r="U23" s="245">
        <v>65</v>
      </c>
      <c r="V23" s="216"/>
      <c r="W23" s="213"/>
      <c r="X23" s="245">
        <v>215</v>
      </c>
      <c r="Y23" s="245">
        <v>295</v>
      </c>
      <c r="Z23" s="216">
        <v>0</v>
      </c>
      <c r="AA23" s="213"/>
      <c r="AB23" s="245">
        <v>220</v>
      </c>
      <c r="AC23" s="245">
        <v>270</v>
      </c>
      <c r="AD23" s="216">
        <f t="shared" si="1"/>
        <v>2.3255813953488372E-2</v>
      </c>
      <c r="AE23" s="213"/>
      <c r="AF23" s="245">
        <v>245</v>
      </c>
      <c r="AG23" s="398">
        <v>245</v>
      </c>
      <c r="AH23" s="245">
        <v>275</v>
      </c>
      <c r="AI23" s="396">
        <f t="shared" si="2"/>
        <v>0.11363636363636363</v>
      </c>
      <c r="AJ23" s="216"/>
      <c r="AK23" s="398">
        <v>250</v>
      </c>
      <c r="AL23" s="398">
        <v>195</v>
      </c>
      <c r="AM23" s="396">
        <f t="shared" si="3"/>
        <v>2.0408163265306121E-2</v>
      </c>
      <c r="AN23" s="397"/>
      <c r="AO23" s="163">
        <v>250</v>
      </c>
      <c r="AP23" s="399">
        <f t="shared" si="4"/>
        <v>0</v>
      </c>
      <c r="AQ23" s="396">
        <f t="shared" si="5"/>
        <v>0</v>
      </c>
      <c r="AR23" s="518"/>
    </row>
    <row r="24" spans="1:44" ht="14.25" x14ac:dyDescent="0.3">
      <c r="A24" s="161" t="s">
        <v>399</v>
      </c>
      <c r="B24" s="119" t="str">
        <f t="shared" si="0"/>
        <v>5741</v>
      </c>
      <c r="C24" s="213" t="s">
        <v>1741</v>
      </c>
      <c r="D24" s="245">
        <v>110</v>
      </c>
      <c r="E24" s="245">
        <v>100</v>
      </c>
      <c r="F24" s="216"/>
      <c r="G24" s="213"/>
      <c r="H24" s="245">
        <v>110</v>
      </c>
      <c r="I24" s="245">
        <v>100</v>
      </c>
      <c r="J24" s="216"/>
      <c r="K24" s="213"/>
      <c r="L24" s="245">
        <v>110</v>
      </c>
      <c r="M24" s="245">
        <v>100</v>
      </c>
      <c r="N24" s="216"/>
      <c r="O24" s="213"/>
      <c r="P24" s="245">
        <v>110</v>
      </c>
      <c r="Q24" s="245">
        <v>100</v>
      </c>
      <c r="R24" s="216"/>
      <c r="S24" s="213"/>
      <c r="T24" s="245">
        <v>100</v>
      </c>
      <c r="U24" s="245">
        <v>100</v>
      </c>
      <c r="V24" s="216"/>
      <c r="W24" s="213"/>
      <c r="X24" s="245">
        <v>100</v>
      </c>
      <c r="Y24" s="245">
        <v>100</v>
      </c>
      <c r="Z24" s="216">
        <v>0</v>
      </c>
      <c r="AA24" s="213"/>
      <c r="AB24" s="245">
        <v>100</v>
      </c>
      <c r="AC24" s="245">
        <v>100</v>
      </c>
      <c r="AD24" s="216">
        <f t="shared" si="1"/>
        <v>0</v>
      </c>
      <c r="AE24" s="213"/>
      <c r="AF24" s="245">
        <v>100</v>
      </c>
      <c r="AG24" s="398">
        <v>100</v>
      </c>
      <c r="AH24" s="245">
        <v>100</v>
      </c>
      <c r="AI24" s="396">
        <f t="shared" si="2"/>
        <v>0</v>
      </c>
      <c r="AJ24" s="80"/>
      <c r="AK24" s="398">
        <v>100</v>
      </c>
      <c r="AL24" s="398">
        <v>0</v>
      </c>
      <c r="AM24" s="396">
        <f t="shared" si="3"/>
        <v>0</v>
      </c>
      <c r="AN24" s="397"/>
      <c r="AO24" s="163">
        <v>100</v>
      </c>
      <c r="AP24" s="399">
        <f t="shared" si="4"/>
        <v>0</v>
      </c>
      <c r="AQ24" s="396">
        <f t="shared" si="5"/>
        <v>0</v>
      </c>
      <c r="AR24" s="519"/>
    </row>
    <row r="25" spans="1:44" s="394" customFormat="1" ht="14.25" x14ac:dyDescent="0.3">
      <c r="A25" s="395" t="s">
        <v>1449</v>
      </c>
      <c r="B25" s="395" t="str">
        <f>MID(A25,14,4)</f>
        <v>5870</v>
      </c>
      <c r="C25" s="397" t="s">
        <v>1675</v>
      </c>
      <c r="D25" s="398">
        <v>100</v>
      </c>
      <c r="E25" s="398">
        <v>409.99</v>
      </c>
      <c r="F25" s="396"/>
      <c r="G25" s="397"/>
      <c r="H25" s="398">
        <v>100</v>
      </c>
      <c r="I25" s="398">
        <v>0</v>
      </c>
      <c r="J25" s="396"/>
      <c r="K25" s="397"/>
      <c r="L25" s="398">
        <v>100</v>
      </c>
      <c r="M25" s="398">
        <v>0</v>
      </c>
      <c r="N25" s="396"/>
      <c r="O25" s="397"/>
      <c r="P25" s="398">
        <v>100</v>
      </c>
      <c r="Q25" s="398">
        <v>0</v>
      </c>
      <c r="R25" s="396"/>
      <c r="S25" s="397"/>
      <c r="T25" s="398">
        <v>100</v>
      </c>
      <c r="U25" s="398">
        <v>0</v>
      </c>
      <c r="V25" s="396"/>
      <c r="W25" s="397"/>
      <c r="X25" s="398">
        <v>512</v>
      </c>
      <c r="Y25" s="398">
        <v>0</v>
      </c>
      <c r="Z25" s="396">
        <v>4.12</v>
      </c>
      <c r="AA25" s="397"/>
      <c r="AB25" s="398">
        <v>500</v>
      </c>
      <c r="AC25" s="398">
        <v>0</v>
      </c>
      <c r="AD25" s="396">
        <f>(AB25-X25)/X25</f>
        <v>-2.34375E-2</v>
      </c>
      <c r="AE25" s="397"/>
      <c r="AF25" s="398">
        <v>925</v>
      </c>
      <c r="AG25" s="398">
        <v>925</v>
      </c>
      <c r="AH25" s="398">
        <v>0</v>
      </c>
      <c r="AI25" s="396">
        <f>(AG25-AB25)/AB25</f>
        <v>0.85</v>
      </c>
      <c r="AJ25" s="396"/>
      <c r="AK25" s="398">
        <v>650</v>
      </c>
      <c r="AL25" s="398">
        <v>0</v>
      </c>
      <c r="AM25" s="396">
        <f>(AK25-AG25)/AG25</f>
        <v>-0.29729729729729731</v>
      </c>
      <c r="AN25" s="397"/>
      <c r="AO25" s="163">
        <v>650</v>
      </c>
      <c r="AP25" s="399">
        <f t="shared" si="4"/>
        <v>0</v>
      </c>
      <c r="AQ25" s="396">
        <f>(AO25-AK25)/AK25</f>
        <v>0</v>
      </c>
      <c r="AR25" s="519"/>
    </row>
    <row r="26" spans="1:44" s="211" customFormat="1" ht="14.25" x14ac:dyDescent="0.3">
      <c r="A26" s="395" t="s">
        <v>1963</v>
      </c>
      <c r="B26" s="395" t="str">
        <f>MID(A26,14,4)</f>
        <v>5876</v>
      </c>
      <c r="C26" s="397" t="s">
        <v>1418</v>
      </c>
      <c r="D26" s="245"/>
      <c r="E26" s="245"/>
      <c r="F26" s="216"/>
      <c r="G26" s="213"/>
      <c r="H26" s="245"/>
      <c r="I26" s="245"/>
      <c r="J26" s="216"/>
      <c r="K26" s="213"/>
      <c r="L26" s="245"/>
      <c r="M26" s="245"/>
      <c r="N26" s="216"/>
      <c r="O26" s="213"/>
      <c r="P26" s="245"/>
      <c r="Q26" s="245"/>
      <c r="R26" s="216"/>
      <c r="S26" s="213"/>
      <c r="T26" s="245"/>
      <c r="U26" s="245"/>
      <c r="V26" s="216"/>
      <c r="W26" s="213"/>
      <c r="X26" s="245"/>
      <c r="Y26" s="245"/>
      <c r="Z26" s="216"/>
      <c r="AA26" s="213"/>
      <c r="AB26" s="245">
        <v>0</v>
      </c>
      <c r="AC26" s="245">
        <v>0</v>
      </c>
      <c r="AD26" s="216"/>
      <c r="AE26" s="213"/>
      <c r="AF26" s="245"/>
      <c r="AG26" s="398">
        <v>0</v>
      </c>
      <c r="AH26" s="245">
        <v>0</v>
      </c>
      <c r="AI26" s="396" t="e">
        <f>(AG26-AB26)/AB26</f>
        <v>#DIV/0!</v>
      </c>
      <c r="AJ26" s="216"/>
      <c r="AK26" s="398">
        <v>995</v>
      </c>
      <c r="AL26" s="398">
        <v>0</v>
      </c>
      <c r="AM26" s="396" t="e">
        <f>(AK26-AG26)/AG26</f>
        <v>#DIV/0!</v>
      </c>
      <c r="AN26" s="397"/>
      <c r="AO26" s="163">
        <v>1111</v>
      </c>
      <c r="AP26" s="399">
        <f t="shared" si="4"/>
        <v>116</v>
      </c>
      <c r="AQ26" s="396"/>
      <c r="AR26" s="520" t="s">
        <v>2026</v>
      </c>
    </row>
    <row r="27" spans="1:44" s="114" customFormat="1" x14ac:dyDescent="0.25">
      <c r="A27" s="219"/>
      <c r="B27" s="219"/>
      <c r="C27" s="219" t="s">
        <v>279</v>
      </c>
      <c r="D27" s="220">
        <f>SUM(D11:D26)</f>
        <v>4623.55</v>
      </c>
      <c r="E27" s="220">
        <f>SUM(E11:E26)</f>
        <v>4623.5499999999993</v>
      </c>
      <c r="F27" s="221">
        <v>0.18909999999999999</v>
      </c>
      <c r="G27" s="219"/>
      <c r="H27" s="220">
        <f>SUM(H11:H26)</f>
        <v>4500</v>
      </c>
      <c r="I27" s="220">
        <f>SUM(I11:I26)</f>
        <v>2400.5100000000002</v>
      </c>
      <c r="J27" s="221">
        <v>0.18909999999999999</v>
      </c>
      <c r="K27" s="219"/>
      <c r="L27" s="220">
        <f>SUM(L11:L26)</f>
        <v>5351</v>
      </c>
      <c r="M27" s="220">
        <f>SUM(M11:M26)</f>
        <v>3752.04</v>
      </c>
      <c r="N27" s="221">
        <v>0.18909999999999999</v>
      </c>
      <c r="O27" s="219"/>
      <c r="P27" s="220">
        <f>SUM(P11:P26)</f>
        <v>4945</v>
      </c>
      <c r="Q27" s="220">
        <f>SUM(Q11:Q26)</f>
        <v>2855.43</v>
      </c>
      <c r="R27" s="221">
        <v>0.18909999999999999</v>
      </c>
      <c r="S27" s="219"/>
      <c r="T27" s="220">
        <f>SUM(T11:T26)</f>
        <v>6177</v>
      </c>
      <c r="U27" s="220">
        <f>SUM(U11:U26)</f>
        <v>4763.55</v>
      </c>
      <c r="V27" s="221">
        <v>0.18909999999999999</v>
      </c>
      <c r="W27" s="219"/>
      <c r="X27" s="220">
        <f>SUM(X11:X26)</f>
        <v>6177</v>
      </c>
      <c r="Y27" s="220">
        <f>SUM(Y11:Y26)</f>
        <v>2793.0200000000004</v>
      </c>
      <c r="Z27" s="222">
        <f>(X27-T27)/T27</f>
        <v>0</v>
      </c>
      <c r="AA27" s="219"/>
      <c r="AB27" s="220">
        <f>SUM(AB11:AB26)</f>
        <v>9696</v>
      </c>
      <c r="AC27" s="220">
        <f>SUM(AC11:AC26)</f>
        <v>7173.72</v>
      </c>
      <c r="AD27" s="221">
        <f>(AB27-X27)/X27</f>
        <v>0.56969402622632348</v>
      </c>
      <c r="AE27" s="219"/>
      <c r="AF27" s="220">
        <f>SUM(AF11:AF26)</f>
        <v>7113</v>
      </c>
      <c r="AG27" s="220">
        <f>SUM(AG11:AG26)</f>
        <v>7113</v>
      </c>
      <c r="AH27" s="220">
        <f>SUM(AH11:AH26)</f>
        <v>2268.9900000000002</v>
      </c>
      <c r="AI27" s="221">
        <f>(AG27-AB27)/AB27</f>
        <v>-0.26639851485148514</v>
      </c>
      <c r="AJ27" s="221"/>
      <c r="AK27" s="401">
        <f>SUM(AK11:AK26)</f>
        <v>9493</v>
      </c>
      <c r="AL27" s="401">
        <f>SUM(AL11:AL26)</f>
        <v>3279.8199999999997</v>
      </c>
      <c r="AM27" s="221">
        <f>(AK27-AG27)/AG27</f>
        <v>0.33459862224096726</v>
      </c>
      <c r="AN27" s="219"/>
      <c r="AO27" s="220">
        <f>SUM(AO11:AO26)</f>
        <v>9295.4</v>
      </c>
      <c r="AP27" s="401">
        <f>SUM(AP11:AP26)</f>
        <v>-197.60000000000002</v>
      </c>
      <c r="AQ27" s="221">
        <f>(AO27-AK27)/AK27</f>
        <v>-2.0815337617191652E-2</v>
      </c>
      <c r="AR27" s="219"/>
    </row>
    <row r="28" spans="1:44" s="211" customFormat="1" x14ac:dyDescent="0.25">
      <c r="D28" s="112"/>
      <c r="E28" s="112"/>
      <c r="F28" s="216"/>
      <c r="G28" s="213"/>
      <c r="H28" s="112"/>
      <c r="I28" s="112"/>
      <c r="J28" s="216"/>
      <c r="K28" s="213"/>
      <c r="L28" s="112"/>
      <c r="M28" s="112"/>
      <c r="N28" s="216"/>
      <c r="O28" s="213"/>
      <c r="P28" s="112"/>
      <c r="Q28" s="112"/>
      <c r="R28" s="216"/>
      <c r="S28" s="213"/>
      <c r="T28" s="112"/>
      <c r="U28" s="112"/>
      <c r="V28" s="216"/>
      <c r="W28" s="213"/>
      <c r="X28" s="112"/>
      <c r="Y28" s="112"/>
      <c r="Z28" s="216"/>
      <c r="AA28" s="213"/>
      <c r="AB28" s="112"/>
      <c r="AC28" s="112"/>
      <c r="AD28" s="216"/>
      <c r="AE28" s="213"/>
      <c r="AF28" s="112"/>
      <c r="AG28" s="112"/>
      <c r="AH28" s="112"/>
      <c r="AI28" s="216"/>
      <c r="AJ28" s="216"/>
      <c r="AK28" s="112"/>
      <c r="AL28" s="112"/>
      <c r="AM28" s="396"/>
      <c r="AN28" s="397"/>
      <c r="AO28" s="112"/>
      <c r="AP28" s="112"/>
      <c r="AQ28" s="396"/>
    </row>
    <row r="29" spans="1:44" s="114" customFormat="1" ht="12.75" x14ac:dyDescent="0.2">
      <c r="A29" s="228"/>
      <c r="B29" s="228"/>
      <c r="C29" s="233" t="s">
        <v>280</v>
      </c>
      <c r="D29" s="230">
        <f>D8+D27</f>
        <v>33519.550000000003</v>
      </c>
      <c r="E29" s="230">
        <f>E8+E27</f>
        <v>33519.550000000003</v>
      </c>
      <c r="F29" s="231">
        <v>8.0799999999999997E-2</v>
      </c>
      <c r="G29" s="228"/>
      <c r="H29" s="230">
        <f>H8+H27</f>
        <v>35205</v>
      </c>
      <c r="I29" s="230">
        <f>I8+I27</f>
        <v>33105.51</v>
      </c>
      <c r="J29" s="231">
        <v>8.0799999999999997E-2</v>
      </c>
      <c r="K29" s="228"/>
      <c r="L29" s="230">
        <f>L8+L27</f>
        <v>38050.65</v>
      </c>
      <c r="M29" s="230">
        <f>M8+M27</f>
        <v>36451.72</v>
      </c>
      <c r="N29" s="231">
        <v>8.0799999999999997E-2</v>
      </c>
      <c r="O29" s="228"/>
      <c r="P29" s="230">
        <f>P8+P27</f>
        <v>39573.96</v>
      </c>
      <c r="Q29" s="230">
        <f>Q8+Q27</f>
        <v>37484.31</v>
      </c>
      <c r="R29" s="231">
        <v>8.0799999999999997E-2</v>
      </c>
      <c r="S29" s="228"/>
      <c r="T29" s="230">
        <f>T8+T27</f>
        <v>42548.92</v>
      </c>
      <c r="U29" s="230">
        <f>U8+U27</f>
        <v>41065.79</v>
      </c>
      <c r="V29" s="231">
        <v>8.0799999999999997E-2</v>
      </c>
      <c r="W29" s="228"/>
      <c r="X29" s="230">
        <f>X8+X27</f>
        <v>45197.18</v>
      </c>
      <c r="Y29" s="230">
        <f>Y8+Y27</f>
        <v>41813.199999999997</v>
      </c>
      <c r="Z29" s="231">
        <f>(X29-T29)/T29</f>
        <v>6.2240357687104682E-2</v>
      </c>
      <c r="AA29" s="228"/>
      <c r="AB29" s="230">
        <f>AB8+AB27</f>
        <v>50343.1</v>
      </c>
      <c r="AC29" s="230">
        <f>AC8+AC27</f>
        <v>47820.81</v>
      </c>
      <c r="AD29" s="231">
        <f>(AB29-X29)/X29</f>
        <v>0.11385489094673602</v>
      </c>
      <c r="AE29" s="228"/>
      <c r="AF29" s="230">
        <f>AF8+AF27</f>
        <v>49568.83</v>
      </c>
      <c r="AG29" s="378">
        <f>AG8+AG27</f>
        <v>53328.79</v>
      </c>
      <c r="AH29" s="230">
        <f>AH8+AH27</f>
        <v>48484.78</v>
      </c>
      <c r="AI29" s="231">
        <f>(AG29-AB29)/AB29</f>
        <v>5.9306836488019259E-2</v>
      </c>
      <c r="AJ29" s="231"/>
      <c r="AK29" s="402">
        <f>AK8+AK27</f>
        <v>58230.05</v>
      </c>
      <c r="AL29" s="402">
        <f>AL8+AL27</f>
        <v>26621.32</v>
      </c>
      <c r="AM29" s="231">
        <f>(AK29-AG29)/AG29</f>
        <v>9.1906454281074107E-2</v>
      </c>
      <c r="AN29" s="228"/>
      <c r="AO29" s="230">
        <f>AO8+AO27</f>
        <v>61365.228860000003</v>
      </c>
      <c r="AP29" s="402">
        <f>AP8+AP27</f>
        <v>3135.1788599999973</v>
      </c>
      <c r="AQ29" s="231">
        <f>(AO29-AK29)/AK29</f>
        <v>5.3841253098700755E-2</v>
      </c>
      <c r="AR29" s="233"/>
    </row>
    <row r="30" spans="1:44" x14ac:dyDescent="0.25">
      <c r="D30" s="120"/>
      <c r="H30" s="120"/>
      <c r="L30" s="120"/>
      <c r="P30" s="120"/>
      <c r="T30" s="120"/>
      <c r="X30" s="120"/>
      <c r="AB30" s="120"/>
      <c r="AF30" s="120"/>
      <c r="AG30" s="120"/>
      <c r="AK30" s="403"/>
    </row>
    <row r="31" spans="1:44" s="111" customFormat="1" thickBot="1" x14ac:dyDescent="0.25">
      <c r="C31" s="111" t="s">
        <v>281</v>
      </c>
      <c r="D31" s="122"/>
      <c r="E31" s="139">
        <f>D29-E29</f>
        <v>0</v>
      </c>
      <c r="H31" s="122"/>
      <c r="I31" s="139">
        <f>H29-I29</f>
        <v>2099.489999999998</v>
      </c>
      <c r="L31" s="122"/>
      <c r="M31" s="139">
        <f>L29-M29</f>
        <v>1598.9300000000003</v>
      </c>
      <c r="P31" s="122"/>
      <c r="Q31" s="139">
        <f>P29-Q29</f>
        <v>2089.6500000000015</v>
      </c>
      <c r="T31" s="122"/>
      <c r="U31" s="139">
        <f>T29-U29</f>
        <v>1483.1299999999974</v>
      </c>
      <c r="X31" s="122"/>
      <c r="Y31" s="121">
        <f>X29-Y29</f>
        <v>3383.9800000000032</v>
      </c>
      <c r="AB31" s="122"/>
      <c r="AC31" s="121">
        <f>AB29-AC29</f>
        <v>2522.2900000000009</v>
      </c>
      <c r="AF31" s="122"/>
      <c r="AG31" s="122"/>
      <c r="AH31" s="121">
        <f>AG29-AH29</f>
        <v>4844.010000000002</v>
      </c>
      <c r="AK31" s="122"/>
      <c r="AL31" s="121">
        <f>AK29-AL29</f>
        <v>31608.730000000003</v>
      </c>
      <c r="AO31" s="123"/>
      <c r="AP31" s="123"/>
    </row>
    <row r="32" spans="1:44" ht="14.25" thickTop="1" x14ac:dyDescent="0.25">
      <c r="D32" s="134"/>
      <c r="E32" s="129"/>
      <c r="F32" s="130"/>
      <c r="G32" s="129"/>
      <c r="H32" s="134"/>
      <c r="I32" s="129"/>
      <c r="J32" s="130"/>
      <c r="K32" s="129"/>
      <c r="L32" s="134"/>
      <c r="M32" s="129"/>
      <c r="N32" s="130"/>
      <c r="O32" s="129"/>
      <c r="P32" s="134"/>
      <c r="Q32" s="129"/>
      <c r="R32" s="130"/>
      <c r="S32" s="129"/>
      <c r="T32" s="134"/>
      <c r="U32" s="129"/>
      <c r="V32" s="130"/>
      <c r="W32" s="129"/>
      <c r="X32" s="134"/>
      <c r="Y32" s="129"/>
      <c r="Z32" s="129"/>
      <c r="AA32" s="129"/>
      <c r="AB32" s="134"/>
      <c r="AC32" s="129"/>
      <c r="AD32" s="129"/>
      <c r="AE32" s="129"/>
      <c r="AF32" s="134"/>
      <c r="AG32" s="134"/>
      <c r="AH32" s="129"/>
      <c r="AI32" s="129"/>
      <c r="AJ32" s="129"/>
      <c r="AK32" s="134"/>
      <c r="AL32" s="129"/>
      <c r="AM32" s="129"/>
      <c r="AN32" s="129"/>
      <c r="AO32" s="240" t="s">
        <v>1195</v>
      </c>
      <c r="AP32" s="241"/>
      <c r="AQ32" s="242"/>
      <c r="AR32" s="211"/>
    </row>
    <row r="33" spans="4:44" x14ac:dyDescent="0.25">
      <c r="AO33" s="243" t="s">
        <v>313</v>
      </c>
      <c r="AP33" s="5"/>
      <c r="AQ33" s="299">
        <f>AO8*0.0145</f>
        <v>755.01251847000003</v>
      </c>
      <c r="AR33" s="211"/>
    </row>
    <row r="34" spans="4:44" ht="13.5" customHeight="1" x14ac:dyDescent="0.25">
      <c r="AO34" s="210" t="s">
        <v>314</v>
      </c>
      <c r="AP34" s="5"/>
      <c r="AQ34" s="299">
        <f>AO8*0.0009</f>
        <v>46.862845974000003</v>
      </c>
      <c r="AR34" s="211"/>
    </row>
    <row r="35" spans="4:44" x14ac:dyDescent="0.25">
      <c r="AO35" s="210" t="s">
        <v>315</v>
      </c>
      <c r="AP35" s="5"/>
      <c r="AQ35" s="299">
        <f>AO8*0.003</f>
        <v>156.20948658</v>
      </c>
      <c r="AR35" s="211"/>
    </row>
    <row r="36" spans="4:44" x14ac:dyDescent="0.25">
      <c r="AO36" s="210" t="s">
        <v>316</v>
      </c>
      <c r="AP36" s="5"/>
      <c r="AQ36" s="299">
        <f>'County Retirement'!G10</f>
        <v>6368.2885688094284</v>
      </c>
      <c r="AR36" s="211"/>
    </row>
    <row r="37" spans="4:44" x14ac:dyDescent="0.25">
      <c r="AO37" s="210" t="s">
        <v>317</v>
      </c>
      <c r="AP37" s="5"/>
      <c r="AQ37" s="302">
        <f>'Health Ins'!L28</f>
        <v>22266</v>
      </c>
      <c r="AR37" s="211"/>
    </row>
    <row r="38" spans="4:44" x14ac:dyDescent="0.25">
      <c r="AO38" s="235"/>
      <c r="AP38" s="237"/>
      <c r="AQ38" s="301">
        <f>SUM(AQ33:AQ37)</f>
        <v>29592.373419833428</v>
      </c>
      <c r="AR38" s="211"/>
    </row>
    <row r="39" spans="4:44" x14ac:dyDescent="0.25">
      <c r="D39" s="134"/>
      <c r="E39" s="129"/>
      <c r="F39" s="129"/>
      <c r="G39" s="129"/>
      <c r="H39" s="134"/>
      <c r="I39" s="129"/>
      <c r="J39" s="129"/>
      <c r="K39" s="129"/>
      <c r="L39" s="134"/>
      <c r="M39" s="129"/>
      <c r="N39" s="129"/>
      <c r="O39" s="129"/>
      <c r="P39" s="134"/>
      <c r="Q39" s="129"/>
      <c r="R39" s="129"/>
      <c r="S39" s="129"/>
      <c r="T39" s="134"/>
      <c r="U39" s="129"/>
      <c r="V39" s="129"/>
      <c r="W39" s="129"/>
      <c r="X39" s="134"/>
      <c r="Y39" s="129"/>
      <c r="Z39" s="129"/>
      <c r="AA39" s="129"/>
      <c r="AB39" s="134"/>
      <c r="AC39" s="129"/>
      <c r="AD39" s="129"/>
      <c r="AE39" s="129"/>
      <c r="AF39" s="134"/>
      <c r="AG39" s="134"/>
      <c r="AH39" s="129"/>
      <c r="AI39" s="129"/>
      <c r="AJ39" s="129"/>
      <c r="AK39" s="134"/>
      <c r="AL39" s="129"/>
      <c r="AM39" s="129"/>
      <c r="AN39" s="129"/>
      <c r="AO39" s="131"/>
      <c r="AP39" s="131"/>
    </row>
    <row r="40" spans="4:44" x14ac:dyDescent="0.25">
      <c r="D40" s="134"/>
      <c r="E40" s="129"/>
      <c r="F40" s="129"/>
      <c r="G40" s="129"/>
      <c r="H40" s="134"/>
      <c r="I40" s="129"/>
      <c r="J40" s="129"/>
      <c r="K40" s="129"/>
      <c r="L40" s="134"/>
      <c r="M40" s="129"/>
      <c r="N40" s="129"/>
      <c r="O40" s="129"/>
      <c r="P40" s="134"/>
      <c r="Q40" s="129"/>
      <c r="R40" s="129"/>
      <c r="S40" s="129"/>
      <c r="T40" s="134"/>
      <c r="U40" s="129"/>
      <c r="V40" s="129"/>
      <c r="W40" s="129"/>
      <c r="X40" s="134"/>
      <c r="Y40" s="129"/>
      <c r="Z40" s="129"/>
      <c r="AA40" s="129"/>
      <c r="AB40" s="134"/>
      <c r="AC40" s="129"/>
      <c r="AD40" s="129"/>
      <c r="AE40" s="129"/>
      <c r="AF40" s="134"/>
      <c r="AG40" s="134"/>
      <c r="AH40" s="129"/>
      <c r="AI40" s="129"/>
      <c r="AJ40" s="129"/>
      <c r="AK40" s="134"/>
      <c r="AL40" s="129"/>
      <c r="AM40" s="129"/>
      <c r="AN40" s="129"/>
      <c r="AO40" s="131"/>
      <c r="AP40" s="131"/>
    </row>
    <row r="41" spans="4:44" x14ac:dyDescent="0.25">
      <c r="D41" s="134"/>
      <c r="E41" s="129"/>
      <c r="F41" s="129"/>
      <c r="G41" s="129"/>
      <c r="H41" s="134"/>
      <c r="I41" s="129"/>
      <c r="J41" s="129"/>
      <c r="K41" s="129"/>
      <c r="L41" s="134"/>
      <c r="M41" s="129"/>
      <c r="N41" s="129"/>
      <c r="O41" s="129"/>
      <c r="P41" s="134"/>
      <c r="Q41" s="129"/>
      <c r="R41" s="129"/>
      <c r="S41" s="129"/>
      <c r="T41" s="134"/>
      <c r="U41" s="129"/>
      <c r="V41" s="129"/>
      <c r="W41" s="129"/>
      <c r="X41" s="134"/>
      <c r="Y41" s="129"/>
      <c r="Z41" s="129"/>
      <c r="AA41" s="129"/>
      <c r="AB41" s="134"/>
      <c r="AC41" s="129"/>
      <c r="AD41" s="129"/>
      <c r="AE41" s="129"/>
      <c r="AF41" s="134"/>
      <c r="AG41" s="134"/>
      <c r="AH41" s="129"/>
      <c r="AI41" s="129"/>
      <c r="AJ41" s="129"/>
      <c r="AK41" s="134"/>
      <c r="AL41" s="129"/>
      <c r="AM41" s="129"/>
      <c r="AN41" s="129"/>
      <c r="AO41" s="131"/>
      <c r="AP41" s="131"/>
    </row>
    <row r="42" spans="4:44" x14ac:dyDescent="0.25">
      <c r="D42" s="134"/>
      <c r="E42" s="129"/>
      <c r="F42" s="129"/>
      <c r="G42" s="129"/>
      <c r="H42" s="134"/>
      <c r="I42" s="129"/>
      <c r="J42" s="129"/>
      <c r="K42" s="129"/>
      <c r="L42" s="134"/>
      <c r="M42" s="129"/>
      <c r="N42" s="129"/>
      <c r="O42" s="129"/>
      <c r="P42" s="134"/>
      <c r="Q42" s="129"/>
      <c r="R42" s="129"/>
      <c r="S42" s="129"/>
      <c r="T42" s="134"/>
      <c r="U42" s="129"/>
      <c r="V42" s="129"/>
      <c r="W42" s="129"/>
      <c r="X42" s="134"/>
      <c r="Y42" s="129"/>
      <c r="Z42" s="129"/>
      <c r="AA42" s="129"/>
      <c r="AB42" s="134"/>
      <c r="AC42" s="129"/>
      <c r="AD42" s="129"/>
      <c r="AE42" s="129"/>
      <c r="AF42" s="134"/>
      <c r="AG42" s="134"/>
      <c r="AH42" s="129"/>
      <c r="AI42" s="129"/>
      <c r="AJ42" s="129"/>
      <c r="AK42" s="134"/>
      <c r="AL42" s="129"/>
      <c r="AM42" s="129"/>
      <c r="AN42" s="129"/>
      <c r="AO42" s="131"/>
      <c r="AP42" s="131"/>
    </row>
    <row r="43" spans="4:44" x14ac:dyDescent="0.25">
      <c r="D43" s="134"/>
      <c r="E43" s="129"/>
      <c r="F43" s="129"/>
      <c r="G43" s="129"/>
      <c r="H43" s="134"/>
      <c r="I43" s="129"/>
      <c r="J43" s="129"/>
      <c r="K43" s="129"/>
      <c r="L43" s="134"/>
      <c r="M43" s="129"/>
      <c r="N43" s="129"/>
      <c r="O43" s="129"/>
      <c r="P43" s="134"/>
      <c r="Q43" s="129"/>
      <c r="R43" s="129"/>
      <c r="S43" s="129"/>
      <c r="T43" s="134"/>
      <c r="U43" s="129"/>
      <c r="V43" s="129"/>
      <c r="W43" s="129"/>
      <c r="X43" s="134"/>
      <c r="Y43" s="129"/>
      <c r="Z43" s="129"/>
      <c r="AA43" s="129"/>
      <c r="AB43" s="134"/>
      <c r="AC43" s="129"/>
      <c r="AD43" s="129"/>
      <c r="AE43" s="129"/>
      <c r="AF43" s="134"/>
      <c r="AG43" s="134"/>
      <c r="AH43" s="129"/>
      <c r="AI43" s="129"/>
      <c r="AJ43" s="129"/>
      <c r="AK43" s="134"/>
      <c r="AL43" s="129"/>
      <c r="AM43" s="129"/>
      <c r="AN43" s="129"/>
      <c r="AO43" s="131"/>
      <c r="AP43" s="131"/>
    </row>
    <row r="44" spans="4:44" x14ac:dyDescent="0.25">
      <c r="D44" s="134"/>
      <c r="E44" s="129"/>
      <c r="F44" s="129"/>
      <c r="G44" s="129"/>
      <c r="H44" s="134"/>
      <c r="I44" s="129"/>
      <c r="J44" s="129"/>
      <c r="K44" s="129"/>
      <c r="L44" s="134"/>
      <c r="M44" s="129"/>
      <c r="N44" s="129"/>
      <c r="O44" s="129"/>
      <c r="P44" s="134"/>
      <c r="Q44" s="129"/>
      <c r="R44" s="129"/>
      <c r="S44" s="129"/>
      <c r="T44" s="134"/>
      <c r="U44" s="129"/>
      <c r="V44" s="129"/>
      <c r="W44" s="129"/>
      <c r="X44" s="134"/>
      <c r="Y44" s="129"/>
      <c r="Z44" s="129"/>
      <c r="AA44" s="129"/>
      <c r="AB44" s="134"/>
      <c r="AC44" s="129"/>
      <c r="AD44" s="129"/>
      <c r="AE44" s="129"/>
      <c r="AF44" s="134"/>
      <c r="AG44" s="134"/>
      <c r="AH44" s="129"/>
      <c r="AI44" s="129"/>
      <c r="AJ44" s="129"/>
      <c r="AK44" s="134"/>
      <c r="AL44" s="129"/>
      <c r="AM44" s="129"/>
      <c r="AN44" s="129"/>
      <c r="AO44" s="131"/>
      <c r="AP44" s="131"/>
    </row>
    <row r="45" spans="4:44" x14ac:dyDescent="0.25">
      <c r="D45" s="134"/>
      <c r="E45" s="129"/>
      <c r="F45" s="129"/>
      <c r="G45" s="129"/>
      <c r="H45" s="134"/>
      <c r="I45" s="129"/>
      <c r="J45" s="129"/>
      <c r="K45" s="129"/>
      <c r="L45" s="134"/>
      <c r="M45" s="129"/>
      <c r="N45" s="129"/>
      <c r="O45" s="129"/>
      <c r="P45" s="134"/>
      <c r="Q45" s="129"/>
      <c r="R45" s="129"/>
      <c r="S45" s="129"/>
      <c r="T45" s="134"/>
      <c r="U45" s="129"/>
      <c r="V45" s="129"/>
      <c r="W45" s="129"/>
      <c r="X45" s="134"/>
      <c r="Y45" s="129"/>
      <c r="Z45" s="129"/>
      <c r="AA45" s="129"/>
      <c r="AB45" s="134"/>
      <c r="AC45" s="129"/>
      <c r="AD45" s="129"/>
      <c r="AE45" s="129"/>
      <c r="AF45" s="134"/>
      <c r="AG45" s="134"/>
      <c r="AH45" s="129"/>
      <c r="AI45" s="129"/>
      <c r="AJ45" s="129"/>
      <c r="AK45" s="134"/>
      <c r="AL45" s="129"/>
      <c r="AM45" s="129"/>
      <c r="AN45" s="129"/>
      <c r="AO45" s="131"/>
      <c r="AP45" s="131"/>
    </row>
    <row r="46" spans="4:44" x14ac:dyDescent="0.25">
      <c r="D46" s="134"/>
      <c r="E46" s="129"/>
      <c r="F46" s="129"/>
      <c r="G46" s="129"/>
      <c r="H46" s="134"/>
      <c r="I46" s="129"/>
      <c r="J46" s="129"/>
      <c r="K46" s="129"/>
      <c r="L46" s="134"/>
      <c r="M46" s="129"/>
      <c r="N46" s="129"/>
      <c r="O46" s="129"/>
      <c r="P46" s="134"/>
      <c r="Q46" s="129"/>
      <c r="R46" s="129"/>
      <c r="S46" s="129"/>
      <c r="T46" s="134"/>
      <c r="U46" s="129"/>
      <c r="V46" s="129"/>
      <c r="W46" s="129"/>
      <c r="X46" s="134"/>
      <c r="Y46" s="129"/>
      <c r="Z46" s="129"/>
      <c r="AA46" s="129"/>
      <c r="AB46" s="134"/>
      <c r="AC46" s="129"/>
      <c r="AD46" s="129"/>
      <c r="AE46" s="129"/>
      <c r="AF46" s="134"/>
      <c r="AG46" s="134"/>
      <c r="AH46" s="129"/>
      <c r="AI46" s="129"/>
      <c r="AJ46" s="129"/>
      <c r="AK46" s="134"/>
      <c r="AL46" s="129"/>
      <c r="AM46" s="129"/>
      <c r="AN46" s="129"/>
      <c r="AO46" s="131"/>
      <c r="AP46" s="131"/>
    </row>
    <row r="47" spans="4:44" x14ac:dyDescent="0.25">
      <c r="D47" s="134"/>
      <c r="E47" s="129"/>
      <c r="F47" s="129"/>
      <c r="G47" s="129"/>
      <c r="H47" s="134"/>
      <c r="I47" s="129"/>
      <c r="J47" s="129"/>
      <c r="K47" s="129"/>
      <c r="L47" s="134"/>
      <c r="M47" s="129"/>
      <c r="N47" s="129"/>
      <c r="O47" s="129"/>
      <c r="P47" s="134"/>
      <c r="Q47" s="129"/>
      <c r="R47" s="129"/>
      <c r="S47" s="129"/>
      <c r="T47" s="134"/>
      <c r="U47" s="129"/>
      <c r="V47" s="129"/>
      <c r="W47" s="129"/>
      <c r="X47" s="134"/>
      <c r="Y47" s="129"/>
      <c r="Z47" s="129"/>
      <c r="AA47" s="129"/>
      <c r="AB47" s="134"/>
      <c r="AC47" s="129"/>
      <c r="AD47" s="129"/>
      <c r="AE47" s="129"/>
      <c r="AF47" s="134"/>
      <c r="AG47" s="134"/>
      <c r="AH47" s="129"/>
      <c r="AI47" s="129"/>
      <c r="AJ47" s="129"/>
      <c r="AK47" s="134"/>
      <c r="AL47" s="129"/>
      <c r="AM47" s="129"/>
      <c r="AN47" s="129"/>
      <c r="AO47" s="131"/>
      <c r="AP47" s="131"/>
    </row>
    <row r="48" spans="4:44" x14ac:dyDescent="0.25">
      <c r="D48" s="134"/>
      <c r="E48" s="129"/>
      <c r="F48" s="129"/>
      <c r="G48" s="129"/>
      <c r="H48" s="134"/>
      <c r="I48" s="129"/>
      <c r="J48" s="129"/>
      <c r="K48" s="129"/>
      <c r="L48" s="134"/>
      <c r="M48" s="129"/>
      <c r="N48" s="129"/>
      <c r="O48" s="129"/>
      <c r="P48" s="134"/>
      <c r="Q48" s="129"/>
      <c r="R48" s="129"/>
      <c r="S48" s="129"/>
      <c r="T48" s="134"/>
      <c r="U48" s="129"/>
      <c r="V48" s="129"/>
      <c r="W48" s="129"/>
      <c r="X48" s="134"/>
      <c r="Y48" s="129"/>
      <c r="Z48" s="129"/>
      <c r="AA48" s="129"/>
      <c r="AB48" s="134"/>
      <c r="AC48" s="129"/>
      <c r="AD48" s="129"/>
      <c r="AE48" s="129"/>
      <c r="AF48" s="134"/>
      <c r="AG48" s="134"/>
      <c r="AH48" s="129"/>
      <c r="AI48" s="129"/>
      <c r="AJ48" s="129"/>
      <c r="AK48" s="134"/>
      <c r="AL48" s="129"/>
      <c r="AM48" s="129"/>
      <c r="AN48" s="129"/>
      <c r="AO48" s="131"/>
      <c r="AP48" s="131"/>
    </row>
    <row r="49" spans="4:42" x14ac:dyDescent="0.25">
      <c r="D49" s="134"/>
      <c r="E49" s="129"/>
      <c r="F49" s="129"/>
      <c r="G49" s="129"/>
      <c r="H49" s="134"/>
      <c r="I49" s="129"/>
      <c r="J49" s="129"/>
      <c r="K49" s="129"/>
      <c r="L49" s="134"/>
      <c r="M49" s="129"/>
      <c r="N49" s="129"/>
      <c r="O49" s="129"/>
      <c r="P49" s="134"/>
      <c r="Q49" s="129"/>
      <c r="R49" s="129"/>
      <c r="S49" s="129"/>
      <c r="T49" s="134"/>
      <c r="U49" s="129"/>
      <c r="V49" s="129"/>
      <c r="W49" s="129"/>
      <c r="X49" s="134"/>
      <c r="Y49" s="129"/>
      <c r="Z49" s="129"/>
      <c r="AA49" s="129"/>
      <c r="AB49" s="134"/>
      <c r="AC49" s="129"/>
      <c r="AD49" s="129"/>
      <c r="AE49" s="129"/>
      <c r="AF49" s="134"/>
      <c r="AG49" s="134"/>
      <c r="AH49" s="129"/>
      <c r="AI49" s="129"/>
      <c r="AJ49" s="129"/>
      <c r="AK49" s="134"/>
      <c r="AL49" s="129"/>
      <c r="AM49" s="129"/>
      <c r="AN49" s="129"/>
      <c r="AO49" s="131"/>
      <c r="AP49" s="131"/>
    </row>
    <row r="50" spans="4:42" x14ac:dyDescent="0.25">
      <c r="D50" s="134"/>
      <c r="E50" s="129"/>
      <c r="F50" s="129"/>
      <c r="G50" s="129"/>
      <c r="H50" s="134"/>
      <c r="I50" s="129"/>
      <c r="J50" s="129"/>
      <c r="K50" s="129"/>
      <c r="L50" s="134"/>
      <c r="M50" s="129"/>
      <c r="N50" s="129"/>
      <c r="O50" s="129"/>
      <c r="P50" s="134"/>
      <c r="Q50" s="129"/>
      <c r="R50" s="129"/>
      <c r="S50" s="129"/>
      <c r="T50" s="134"/>
      <c r="U50" s="129"/>
      <c r="V50" s="129"/>
      <c r="W50" s="129"/>
      <c r="X50" s="134"/>
      <c r="Y50" s="129"/>
      <c r="Z50" s="129"/>
      <c r="AA50" s="129"/>
      <c r="AB50" s="134"/>
      <c r="AC50" s="129"/>
      <c r="AD50" s="129"/>
      <c r="AE50" s="129"/>
      <c r="AF50" s="134"/>
      <c r="AG50" s="134"/>
      <c r="AH50" s="129"/>
      <c r="AI50" s="129"/>
      <c r="AJ50" s="129"/>
      <c r="AK50" s="134"/>
      <c r="AL50" s="129"/>
      <c r="AM50" s="129"/>
      <c r="AN50" s="129"/>
      <c r="AO50" s="131"/>
      <c r="AP50" s="131"/>
    </row>
    <row r="51" spans="4:42" x14ac:dyDescent="0.25">
      <c r="D51" s="134"/>
      <c r="E51" s="129"/>
      <c r="F51" s="129"/>
      <c r="G51" s="129"/>
      <c r="H51" s="134"/>
      <c r="I51" s="129"/>
      <c r="J51" s="129"/>
      <c r="K51" s="129"/>
      <c r="L51" s="134"/>
      <c r="M51" s="129"/>
      <c r="N51" s="129"/>
      <c r="O51" s="129"/>
      <c r="P51" s="134"/>
      <c r="Q51" s="129"/>
      <c r="R51" s="129"/>
      <c r="S51" s="129"/>
      <c r="T51" s="134"/>
      <c r="U51" s="129"/>
      <c r="V51" s="129"/>
      <c r="W51" s="129"/>
      <c r="X51" s="134"/>
      <c r="Y51" s="129"/>
      <c r="Z51" s="129"/>
      <c r="AA51" s="129"/>
      <c r="AB51" s="134"/>
      <c r="AC51" s="129"/>
      <c r="AD51" s="129"/>
      <c r="AE51" s="129"/>
      <c r="AF51" s="134"/>
      <c r="AG51" s="134"/>
      <c r="AH51" s="129"/>
      <c r="AI51" s="129"/>
      <c r="AJ51" s="129"/>
      <c r="AK51" s="134"/>
      <c r="AL51" s="129"/>
      <c r="AM51" s="129"/>
      <c r="AN51" s="129"/>
      <c r="AO51" s="131"/>
      <c r="AP51" s="131"/>
    </row>
    <row r="52" spans="4:42" x14ac:dyDescent="0.25">
      <c r="D52" s="134"/>
      <c r="E52" s="129"/>
      <c r="F52" s="129"/>
      <c r="G52" s="129"/>
      <c r="H52" s="134"/>
      <c r="I52" s="129"/>
      <c r="J52" s="129"/>
      <c r="K52" s="129"/>
      <c r="L52" s="134"/>
      <c r="M52" s="129"/>
      <c r="N52" s="129"/>
      <c r="O52" s="129"/>
      <c r="P52" s="134"/>
      <c r="Q52" s="129"/>
      <c r="R52" s="129"/>
      <c r="S52" s="129"/>
      <c r="T52" s="134"/>
      <c r="U52" s="129"/>
      <c r="V52" s="129"/>
      <c r="W52" s="129"/>
      <c r="X52" s="134"/>
      <c r="Y52" s="129"/>
      <c r="Z52" s="129"/>
      <c r="AA52" s="129"/>
      <c r="AB52" s="134"/>
      <c r="AC52" s="129"/>
      <c r="AD52" s="129"/>
      <c r="AE52" s="129"/>
      <c r="AF52" s="134"/>
      <c r="AG52" s="134"/>
      <c r="AH52" s="129"/>
      <c r="AI52" s="129"/>
      <c r="AJ52" s="129"/>
      <c r="AK52" s="134"/>
      <c r="AL52" s="129"/>
      <c r="AM52" s="129"/>
      <c r="AN52" s="129"/>
      <c r="AO52" s="131"/>
      <c r="AP52" s="131"/>
    </row>
    <row r="53" spans="4:42" x14ac:dyDescent="0.25">
      <c r="D53" s="134"/>
      <c r="E53" s="129"/>
      <c r="F53" s="129"/>
      <c r="G53" s="129"/>
      <c r="H53" s="134"/>
      <c r="I53" s="129"/>
      <c r="J53" s="129"/>
      <c r="K53" s="129"/>
      <c r="L53" s="134"/>
      <c r="M53" s="129"/>
      <c r="N53" s="129"/>
      <c r="O53" s="129"/>
      <c r="P53" s="134"/>
      <c r="Q53" s="129"/>
      <c r="R53" s="129"/>
      <c r="S53" s="129"/>
      <c r="T53" s="134"/>
      <c r="U53" s="129"/>
      <c r="V53" s="129"/>
      <c r="W53" s="129"/>
      <c r="X53" s="134"/>
      <c r="Y53" s="129"/>
      <c r="Z53" s="129"/>
      <c r="AA53" s="129"/>
      <c r="AB53" s="134"/>
      <c r="AC53" s="129"/>
      <c r="AD53" s="129"/>
      <c r="AE53" s="129"/>
      <c r="AF53" s="134"/>
      <c r="AG53" s="134"/>
      <c r="AH53" s="129"/>
      <c r="AI53" s="129"/>
      <c r="AJ53" s="129"/>
      <c r="AK53" s="134"/>
      <c r="AL53" s="129"/>
      <c r="AM53" s="129"/>
      <c r="AN53" s="129"/>
      <c r="AO53" s="131"/>
      <c r="AP53" s="131"/>
    </row>
    <row r="54" spans="4:42" x14ac:dyDescent="0.25">
      <c r="D54" s="120"/>
      <c r="H54" s="120"/>
      <c r="L54" s="120"/>
      <c r="P54" s="120"/>
      <c r="T54" s="120"/>
      <c r="X54" s="120"/>
      <c r="AB54" s="120"/>
      <c r="AF54" s="120"/>
      <c r="AG54" s="120"/>
      <c r="AK54" s="403"/>
    </row>
    <row r="55" spans="4:42" x14ac:dyDescent="0.25">
      <c r="D55" s="120"/>
      <c r="H55" s="120"/>
      <c r="L55" s="120"/>
      <c r="P55" s="120"/>
      <c r="T55" s="120"/>
      <c r="X55" s="120"/>
      <c r="AB55" s="120"/>
      <c r="AF55" s="120"/>
      <c r="AG55" s="120"/>
      <c r="AK55" s="403"/>
    </row>
    <row r="56" spans="4:42" x14ac:dyDescent="0.25">
      <c r="D56" s="120"/>
      <c r="H56" s="120"/>
      <c r="L56" s="120"/>
      <c r="P56" s="120"/>
      <c r="T56" s="120"/>
      <c r="X56" s="120"/>
      <c r="AB56" s="120"/>
      <c r="AF56" s="120"/>
      <c r="AG56" s="120"/>
      <c r="AK56" s="403"/>
    </row>
    <row r="57" spans="4:42" x14ac:dyDescent="0.25">
      <c r="D57" s="120"/>
      <c r="H57" s="120"/>
      <c r="L57" s="120"/>
      <c r="P57" s="120"/>
      <c r="T57" s="120"/>
      <c r="X57" s="120"/>
      <c r="AB57" s="120"/>
      <c r="AF57" s="120"/>
      <c r="AG57" s="120"/>
      <c r="AK57" s="403"/>
    </row>
    <row r="58" spans="4:42" x14ac:dyDescent="0.25">
      <c r="D58" s="120"/>
      <c r="H58" s="120"/>
      <c r="L58" s="120"/>
      <c r="P58" s="120"/>
      <c r="T58" s="120"/>
      <c r="X58" s="120"/>
      <c r="AB58" s="120"/>
      <c r="AF58" s="120"/>
      <c r="AG58" s="120"/>
      <c r="AK58" s="403"/>
    </row>
    <row r="59" spans="4:42" x14ac:dyDescent="0.25">
      <c r="D59" s="120"/>
      <c r="H59" s="120"/>
      <c r="L59" s="120"/>
      <c r="P59" s="120"/>
      <c r="T59" s="120"/>
      <c r="X59" s="120"/>
      <c r="AB59" s="120"/>
      <c r="AF59" s="120"/>
      <c r="AG59" s="120"/>
      <c r="AK59" s="403"/>
    </row>
    <row r="60" spans="4:42" x14ac:dyDescent="0.25">
      <c r="D60" s="120"/>
      <c r="H60" s="120"/>
      <c r="L60" s="120"/>
      <c r="P60" s="120"/>
      <c r="T60" s="120"/>
      <c r="X60" s="120"/>
      <c r="AB60" s="120"/>
      <c r="AF60" s="120"/>
      <c r="AG60" s="120"/>
      <c r="AK60" s="403"/>
    </row>
    <row r="61" spans="4:42" x14ac:dyDescent="0.25">
      <c r="D61" s="120"/>
      <c r="H61" s="120"/>
      <c r="L61" s="120"/>
      <c r="P61" s="120"/>
      <c r="T61" s="120"/>
      <c r="X61" s="120"/>
      <c r="AB61" s="120"/>
      <c r="AF61" s="120"/>
      <c r="AG61" s="120"/>
      <c r="AK61" s="403"/>
    </row>
    <row r="62" spans="4:42" x14ac:dyDescent="0.25">
      <c r="D62" s="120"/>
      <c r="H62" s="120"/>
      <c r="L62" s="120"/>
      <c r="P62" s="120"/>
      <c r="T62" s="120"/>
      <c r="X62" s="120"/>
      <c r="AB62" s="120"/>
      <c r="AF62" s="120"/>
      <c r="AG62" s="120"/>
      <c r="AK62" s="403"/>
    </row>
    <row r="63" spans="4:42" x14ac:dyDescent="0.25">
      <c r="D63" s="120"/>
      <c r="H63" s="120"/>
      <c r="L63" s="120"/>
      <c r="P63" s="120"/>
      <c r="T63" s="120"/>
      <c r="X63" s="120"/>
      <c r="AB63" s="120"/>
      <c r="AF63" s="120"/>
      <c r="AG63" s="120"/>
      <c r="AK63" s="403"/>
    </row>
    <row r="64" spans="4:42"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403" t="s">
        <v>1511</v>
      </c>
      <c r="E126" s="211">
        <v>30.35</v>
      </c>
      <c r="F126" s="211">
        <v>25</v>
      </c>
      <c r="G126" s="394"/>
      <c r="H126" s="403"/>
      <c r="I126" s="394"/>
      <c r="J126" s="394"/>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3" orientation="landscape" copies="14" r:id="rId1"/>
  <headerFooter alignWithMargins="0">
    <oddHeader>&amp;C&amp;"-,Bold"Proposed Budget &amp; Analysis Report for FY20</oddHeader>
    <oddFooter>&amp;C&amp;D&amp;T&amp;R&amp;A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4"/>
  <sheetViews>
    <sheetView zoomScaleNormal="100" workbookViewId="0">
      <selection activeCell="C15" sqref="C15"/>
    </sheetView>
  </sheetViews>
  <sheetFormatPr defaultRowHeight="15.75" x14ac:dyDescent="0.25"/>
  <cols>
    <col min="1" max="1" width="63.140625" style="559" customWidth="1"/>
    <col min="2" max="2" width="26.140625" style="560" customWidth="1"/>
    <col min="3" max="3" width="139.140625" style="561" customWidth="1"/>
    <col min="4" max="5" width="37.7109375" style="77" customWidth="1"/>
    <col min="6" max="16384" width="9.140625" style="77"/>
  </cols>
  <sheetData>
    <row r="1" spans="1:3" s="529" customFormat="1" ht="18.75" x14ac:dyDescent="0.3">
      <c r="A1" s="526" t="s">
        <v>2059</v>
      </c>
      <c r="B1" s="527" t="s">
        <v>2033</v>
      </c>
      <c r="C1" s="528" t="s">
        <v>275</v>
      </c>
    </row>
    <row r="2" spans="1:3" ht="63" x14ac:dyDescent="0.3">
      <c r="A2" s="569" t="s">
        <v>2034</v>
      </c>
      <c r="B2" s="531">
        <v>365</v>
      </c>
      <c r="C2" s="532" t="s">
        <v>2035</v>
      </c>
    </row>
    <row r="3" spans="1:3" ht="21" x14ac:dyDescent="0.3">
      <c r="A3" s="569" t="s">
        <v>2036</v>
      </c>
      <c r="B3" s="531">
        <v>87</v>
      </c>
      <c r="C3" s="532" t="s">
        <v>2037</v>
      </c>
    </row>
    <row r="4" spans="1:3" ht="189" x14ac:dyDescent="0.3">
      <c r="A4" s="569" t="s">
        <v>2038</v>
      </c>
      <c r="B4" s="570">
        <v>450</v>
      </c>
      <c r="C4" s="571" t="s">
        <v>2039</v>
      </c>
    </row>
    <row r="5" spans="1:3" ht="42" x14ac:dyDescent="0.3">
      <c r="A5" s="530" t="s">
        <v>2040</v>
      </c>
      <c r="B5" s="531">
        <v>105</v>
      </c>
      <c r="C5" s="532" t="s">
        <v>2041</v>
      </c>
    </row>
    <row r="6" spans="1:3" ht="84" x14ac:dyDescent="0.35">
      <c r="A6" s="530" t="s">
        <v>2042</v>
      </c>
      <c r="B6" s="531">
        <v>95</v>
      </c>
      <c r="C6" s="533" t="s">
        <v>2043</v>
      </c>
    </row>
    <row r="7" spans="1:3" ht="39.75" x14ac:dyDescent="0.45">
      <c r="A7" s="530" t="s">
        <v>2044</v>
      </c>
      <c r="B7" s="534">
        <v>75</v>
      </c>
      <c r="C7" s="532" t="s">
        <v>2045</v>
      </c>
    </row>
    <row r="8" spans="1:3" ht="18.75" x14ac:dyDescent="0.3">
      <c r="A8" s="535" t="s">
        <v>2046</v>
      </c>
      <c r="B8" s="536">
        <f>SUM(B2:B7)</f>
        <v>1177</v>
      </c>
      <c r="C8" s="537"/>
    </row>
    <row r="10" spans="1:3" ht="18.75" x14ac:dyDescent="0.3">
      <c r="A10" s="526" t="s">
        <v>2058</v>
      </c>
      <c r="B10" s="538" t="s">
        <v>2047</v>
      </c>
      <c r="C10" s="526" t="s">
        <v>2048</v>
      </c>
    </row>
    <row r="11" spans="1:3" x14ac:dyDescent="0.25">
      <c r="A11" s="539" t="s">
        <v>2049</v>
      </c>
      <c r="B11" s="540">
        <v>104</v>
      </c>
      <c r="C11" s="541">
        <v>179</v>
      </c>
    </row>
    <row r="12" spans="1:3" x14ac:dyDescent="0.25">
      <c r="A12" s="542" t="s">
        <v>2050</v>
      </c>
      <c r="B12" s="543">
        <v>133.4</v>
      </c>
      <c r="C12" s="544">
        <v>43</v>
      </c>
    </row>
    <row r="13" spans="1:3" x14ac:dyDescent="0.25">
      <c r="A13" s="542" t="s">
        <v>2051</v>
      </c>
      <c r="B13" s="543">
        <v>50</v>
      </c>
      <c r="C13" s="544">
        <v>25</v>
      </c>
    </row>
    <row r="14" spans="1:3" x14ac:dyDescent="0.25">
      <c r="A14" s="542" t="s">
        <v>2052</v>
      </c>
      <c r="B14" s="545">
        <v>119</v>
      </c>
      <c r="C14" s="546">
        <v>244</v>
      </c>
    </row>
    <row r="15" spans="1:3" x14ac:dyDescent="0.25">
      <c r="A15" s="547" t="s">
        <v>2056</v>
      </c>
      <c r="B15" s="548">
        <f>SUM(B11:B14)</f>
        <v>406.4</v>
      </c>
      <c r="C15" s="549">
        <f>SUM(C11:C14)</f>
        <v>491</v>
      </c>
    </row>
    <row r="16" spans="1:3" x14ac:dyDescent="0.25">
      <c r="A16" s="547"/>
      <c r="B16" s="543"/>
      <c r="C16" s="544"/>
    </row>
    <row r="17" spans="1:3" x14ac:dyDescent="0.25">
      <c r="A17" s="542" t="s">
        <v>2053</v>
      </c>
      <c r="B17" s="545">
        <v>50</v>
      </c>
      <c r="C17" s="546">
        <v>50</v>
      </c>
    </row>
    <row r="18" spans="1:3" x14ac:dyDescent="0.25">
      <c r="A18" s="547" t="s">
        <v>2057</v>
      </c>
      <c r="B18" s="548">
        <f>SUM(B17)</f>
        <v>50</v>
      </c>
      <c r="C18" s="549">
        <f>SUM(C17)</f>
        <v>50</v>
      </c>
    </row>
    <row r="19" spans="1:3" x14ac:dyDescent="0.25">
      <c r="A19" s="550"/>
      <c r="B19" s="551"/>
      <c r="C19" s="552"/>
    </row>
    <row r="20" spans="1:3" x14ac:dyDescent="0.25">
      <c r="A20" s="547" t="s">
        <v>2056</v>
      </c>
      <c r="B20" s="548">
        <f>B15+C15</f>
        <v>897.4</v>
      </c>
      <c r="C20" s="552"/>
    </row>
    <row r="21" spans="1:3" x14ac:dyDescent="0.25">
      <c r="A21" s="547" t="s">
        <v>2057</v>
      </c>
      <c r="B21" s="548">
        <f>B18+C18</f>
        <v>100</v>
      </c>
      <c r="C21" s="552"/>
    </row>
    <row r="22" spans="1:3" x14ac:dyDescent="0.25">
      <c r="A22" s="550"/>
      <c r="B22" s="553"/>
      <c r="C22" s="554"/>
    </row>
    <row r="23" spans="1:3" x14ac:dyDescent="0.25">
      <c r="A23" s="555" t="s">
        <v>2054</v>
      </c>
      <c r="B23" s="553"/>
      <c r="C23" s="554"/>
    </row>
    <row r="24" spans="1:3" x14ac:dyDescent="0.25">
      <c r="A24" s="556" t="s">
        <v>2055</v>
      </c>
      <c r="B24" s="557"/>
      <c r="C24" s="558"/>
    </row>
  </sheetData>
  <pageMargins left="0.75" right="0.75" top="1" bottom="1" header="0.5" footer="0.5"/>
  <pageSetup paperSize="5" scale="61" orientation="landscape" r:id="rId1"/>
  <headerFooter alignWithMargins="0">
    <oddHeader>&amp;C&amp;"-,Bold"Proposed Budget &amp; Analysis Report for FY20</oddHeader>
    <oddFooter>&amp;C&amp;D&amp;T&amp;R&amp;A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3:AQ377"/>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4.28515625" style="161" customWidth="1"/>
    <col min="4" max="4" width="13.28515625" style="211" hidden="1" customWidth="1"/>
    <col min="5" max="5" width="11.42578125" style="211" hidden="1" customWidth="1"/>
    <col min="6" max="6" width="7.7109375" style="211" hidden="1" customWidth="1"/>
    <col min="7" max="7" width="1.85546875" style="213" hidden="1" customWidth="1"/>
    <col min="8" max="8" width="13.28515625" style="211" hidden="1" customWidth="1"/>
    <col min="9" max="9" width="11.42578125" style="211" hidden="1" customWidth="1"/>
    <col min="10" max="10" width="7.7109375" style="211" hidden="1" customWidth="1"/>
    <col min="11" max="11" width="1.85546875" style="213" hidden="1" customWidth="1"/>
    <col min="12" max="12" width="13.28515625" style="211" hidden="1" customWidth="1"/>
    <col min="13" max="13" width="11.42578125" style="211" hidden="1" customWidth="1"/>
    <col min="14" max="14" width="7.7109375" style="211" hidden="1" customWidth="1"/>
    <col min="15" max="15" width="1.85546875" style="213" hidden="1" customWidth="1"/>
    <col min="16" max="16" width="13.28515625" style="211" hidden="1" customWidth="1"/>
    <col min="17" max="17" width="11.42578125" style="211" hidden="1" customWidth="1"/>
    <col min="18" max="18" width="7.7109375" style="211" hidden="1" customWidth="1"/>
    <col min="19" max="19" width="1.85546875" style="213" hidden="1" customWidth="1"/>
    <col min="20" max="20" width="13.28515625" style="161" hidden="1" customWidth="1"/>
    <col min="21" max="21" width="11.42578125" style="161" hidden="1" customWidth="1"/>
    <col min="22" max="22" width="7.7109375" style="161" hidden="1" customWidth="1"/>
    <col min="23" max="23" width="1.85546875" style="103" hidden="1" customWidth="1"/>
    <col min="24" max="25" width="11.5703125" style="161" hidden="1" customWidth="1"/>
    <col min="26" max="26" width="9.28515625" style="161" hidden="1" customWidth="1"/>
    <col min="27" max="27" width="1.85546875" style="103" hidden="1" customWidth="1"/>
    <col min="28" max="28" width="16.140625" style="161" customWidth="1"/>
    <col min="29" max="29" width="13.5703125" style="161" customWidth="1"/>
    <col min="30" max="30" width="7.7109375" style="161" bestFit="1" customWidth="1"/>
    <col min="31" max="31" width="3.85546875" style="213" customWidth="1"/>
    <col min="32" max="32" width="13.28515625" style="394" customWidth="1"/>
    <col min="33" max="33" width="14.140625" style="394" customWidth="1"/>
    <col min="34" max="34" width="7.7109375" style="394" bestFit="1" customWidth="1"/>
    <col min="35" max="35" width="3.7109375" style="394" customWidth="1"/>
    <col min="36" max="36" width="13.85546875" style="211" customWidth="1"/>
    <col min="37" max="37" width="11.5703125" style="211" customWidth="1"/>
    <col min="38" max="38" width="7" style="211" bestFit="1" customWidth="1"/>
    <col min="39" max="39" width="3.28515625" style="161" customWidth="1"/>
    <col min="40" max="40" width="13.5703125" style="104" customWidth="1"/>
    <col min="41" max="41" width="11.7109375" style="104" customWidth="1"/>
    <col min="42" max="42" width="12" style="161" customWidth="1"/>
    <col min="43" max="43" width="27.42578125" style="161" customWidth="1"/>
    <col min="44" max="16384" width="9.140625" style="161"/>
  </cols>
  <sheetData>
    <row r="3" spans="1:43"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9"/>
      <c r="AI3" s="440"/>
      <c r="AJ3" s="807" t="s">
        <v>1592</v>
      </c>
      <c r="AK3" s="808"/>
      <c r="AL3" s="809"/>
      <c r="AM3" s="201"/>
      <c r="AN3" s="805" t="s">
        <v>1593</v>
      </c>
      <c r="AO3" s="805"/>
      <c r="AP3" s="805"/>
      <c r="AQ3" s="805"/>
    </row>
    <row r="4" spans="1:43" ht="27" x14ac:dyDescent="0.25">
      <c r="A4" s="271" t="s">
        <v>272</v>
      </c>
      <c r="B4" s="271"/>
      <c r="C4" s="308" t="s">
        <v>1664</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379" t="s">
        <v>1369</v>
      </c>
      <c r="AG4" s="106" t="s">
        <v>27</v>
      </c>
      <c r="AH4" s="106" t="s">
        <v>273</v>
      </c>
      <c r="AI4" s="106"/>
      <c r="AJ4" s="106" t="s">
        <v>98</v>
      </c>
      <c r="AK4" s="439" t="s">
        <v>1714</v>
      </c>
      <c r="AL4" s="106" t="s">
        <v>273</v>
      </c>
      <c r="AM4" s="106"/>
      <c r="AN4" s="107" t="s">
        <v>274</v>
      </c>
      <c r="AO4" s="108" t="s">
        <v>107</v>
      </c>
      <c r="AP4" s="109" t="s">
        <v>28</v>
      </c>
      <c r="AQ4" s="110" t="s">
        <v>275</v>
      </c>
    </row>
    <row r="5" spans="1:43" x14ac:dyDescent="0.25">
      <c r="C5" s="111" t="s">
        <v>276</v>
      </c>
      <c r="AN5" s="103"/>
      <c r="AO5" s="103"/>
      <c r="AQ5" s="111"/>
    </row>
    <row r="6" spans="1:43" ht="19.5" customHeight="1" x14ac:dyDescent="0.25">
      <c r="A6" s="161" t="s">
        <v>400</v>
      </c>
      <c r="B6" s="119" t="str">
        <f>MID(A6,14,4)</f>
        <v>5108</v>
      </c>
      <c r="C6" s="161" t="s">
        <v>1721</v>
      </c>
      <c r="D6" s="245">
        <v>23075</v>
      </c>
      <c r="E6" s="245">
        <v>23025.29</v>
      </c>
      <c r="F6" s="216"/>
      <c r="H6" s="245">
        <v>24093</v>
      </c>
      <c r="I6" s="245">
        <v>24092.91</v>
      </c>
      <c r="J6" s="216"/>
      <c r="L6" s="245">
        <v>25658.91</v>
      </c>
      <c r="M6" s="245">
        <v>25560.6</v>
      </c>
      <c r="N6" s="216"/>
      <c r="P6" s="245">
        <v>27177.93</v>
      </c>
      <c r="Q6" s="245">
        <v>27212.639999999999</v>
      </c>
      <c r="R6" s="216"/>
      <c r="T6" s="162">
        <v>28571.67</v>
      </c>
      <c r="U6" s="162">
        <v>28644.66</v>
      </c>
      <c r="V6" s="80"/>
      <c r="X6" s="162">
        <v>30064.5</v>
      </c>
      <c r="Y6" s="162">
        <v>30064.5</v>
      </c>
      <c r="Z6" s="80">
        <v>5.2248608499258248E-2</v>
      </c>
      <c r="AB6" s="162">
        <v>31296.51</v>
      </c>
      <c r="AC6" s="162">
        <v>31296.55</v>
      </c>
      <c r="AD6" s="80">
        <v>4.097889537494382E-2</v>
      </c>
      <c r="AF6" s="380">
        <v>36597.42</v>
      </c>
      <c r="AG6" s="398">
        <v>36597.42</v>
      </c>
      <c r="AH6" s="396">
        <f>(AF6-AB6)/AB6</f>
        <v>0.16937703277458094</v>
      </c>
      <c r="AI6" s="396"/>
      <c r="AJ6" s="212">
        <v>38601.9</v>
      </c>
      <c r="AK6" s="245">
        <v>18487.5</v>
      </c>
      <c r="AL6" s="396">
        <f>(AJ6-AF6)/AF6</f>
        <v>5.477107402652983E-2</v>
      </c>
      <c r="AM6" s="80"/>
      <c r="AN6" s="163">
        <f>'FY20 Payroll Schedule'!J25</f>
        <v>39447.540000000008</v>
      </c>
      <c r="AO6" s="104">
        <f>AN6-AJ6</f>
        <v>845.64000000000669</v>
      </c>
      <c r="AP6" s="396">
        <f>(AN6-AJ6)/AJ6</f>
        <v>2.1906693711967719E-2</v>
      </c>
      <c r="AQ6" s="288" t="s">
        <v>1391</v>
      </c>
    </row>
    <row r="7" spans="1:43" ht="19.5" customHeight="1" x14ac:dyDescent="0.25">
      <c r="A7" s="161" t="s">
        <v>402</v>
      </c>
      <c r="B7" s="119" t="str">
        <f>MID(A7,14,4)</f>
        <v>5114</v>
      </c>
      <c r="C7" s="161" t="s">
        <v>1313</v>
      </c>
      <c r="D7" s="245">
        <v>6500</v>
      </c>
      <c r="E7" s="245">
        <v>5541.67</v>
      </c>
      <c r="F7" s="216"/>
      <c r="H7" s="245">
        <v>5000</v>
      </c>
      <c r="I7" s="245">
        <v>5000.04</v>
      </c>
      <c r="J7" s="216"/>
      <c r="L7" s="245">
        <v>5000</v>
      </c>
      <c r="M7" s="245">
        <v>5000.04</v>
      </c>
      <c r="N7" s="216"/>
      <c r="P7" s="245">
        <v>5000</v>
      </c>
      <c r="Q7" s="245">
        <v>5000.04</v>
      </c>
      <c r="R7" s="216"/>
      <c r="T7" s="245">
        <v>5000</v>
      </c>
      <c r="U7" s="245">
        <v>5000.03</v>
      </c>
      <c r="V7" s="216"/>
      <c r="W7" s="213"/>
      <c r="X7" s="245">
        <v>5000</v>
      </c>
      <c r="Y7" s="245">
        <v>5000.04</v>
      </c>
      <c r="Z7" s="216">
        <v>0</v>
      </c>
      <c r="AA7" s="213"/>
      <c r="AB7" s="245">
        <v>5000</v>
      </c>
      <c r="AC7" s="245">
        <v>5000.04</v>
      </c>
      <c r="AD7" s="216">
        <v>0</v>
      </c>
      <c r="AF7" s="380">
        <v>5000</v>
      </c>
      <c r="AG7" s="398">
        <v>5000.0600000000004</v>
      </c>
      <c r="AH7" s="396">
        <f>(AF7-AB7)/AB7</f>
        <v>0</v>
      </c>
      <c r="AI7" s="396"/>
      <c r="AJ7" s="212">
        <v>5000</v>
      </c>
      <c r="AK7" s="245">
        <v>2500.0300000000002</v>
      </c>
      <c r="AL7" s="396">
        <f>(AJ7-AF7)/AF7</f>
        <v>0</v>
      </c>
      <c r="AM7" s="80"/>
      <c r="AN7" s="408">
        <v>5000</v>
      </c>
      <c r="AO7" s="399">
        <f>AN7-AJ7</f>
        <v>0</v>
      </c>
      <c r="AP7" s="396">
        <f>(AN7-AJ7)/AJ7</f>
        <v>0</v>
      </c>
      <c r="AQ7" s="166"/>
    </row>
    <row r="8" spans="1:43" ht="19.5" customHeight="1" x14ac:dyDescent="0.25">
      <c r="A8" s="119" t="s">
        <v>1073</v>
      </c>
      <c r="B8" s="119" t="str">
        <f>MID(A8,14,4)</f>
        <v>5142</v>
      </c>
      <c r="C8" s="161" t="s">
        <v>1455</v>
      </c>
      <c r="D8" s="245">
        <v>0</v>
      </c>
      <c r="E8" s="245">
        <v>0</v>
      </c>
      <c r="F8" s="216"/>
      <c r="H8" s="245">
        <v>0</v>
      </c>
      <c r="I8" s="245">
        <v>0</v>
      </c>
      <c r="J8" s="216"/>
      <c r="L8" s="245">
        <v>0</v>
      </c>
      <c r="M8" s="245">
        <v>0</v>
      </c>
      <c r="N8" s="216"/>
      <c r="P8" s="245">
        <v>0</v>
      </c>
      <c r="Q8" s="245">
        <v>0</v>
      </c>
      <c r="R8" s="216"/>
      <c r="T8" s="245">
        <v>0</v>
      </c>
      <c r="U8" s="245">
        <v>0</v>
      </c>
      <c r="V8" s="216"/>
      <c r="W8" s="213"/>
      <c r="X8" s="245">
        <v>300.64999999999998</v>
      </c>
      <c r="Y8" s="245">
        <v>300.64999999999998</v>
      </c>
      <c r="Z8" s="216" t="e">
        <v>#DIV/0!</v>
      </c>
      <c r="AA8" s="213"/>
      <c r="AB8" s="245">
        <v>312.97000000000003</v>
      </c>
      <c r="AC8" s="245">
        <v>312.97000000000003</v>
      </c>
      <c r="AD8" s="216">
        <v>4.0977881257276069E-2</v>
      </c>
      <c r="AF8" s="380">
        <v>366.05</v>
      </c>
      <c r="AG8" s="398">
        <v>366.05</v>
      </c>
      <c r="AH8" s="396">
        <f>(AF8-AB8)/AB8</f>
        <v>0.16960092021599507</v>
      </c>
      <c r="AI8" s="396"/>
      <c r="AJ8" s="212">
        <v>386.02</v>
      </c>
      <c r="AK8" s="245">
        <v>386.02</v>
      </c>
      <c r="AL8" s="396">
        <f>(AJ8-AF8)/AF8</f>
        <v>5.4555388608113563E-2</v>
      </c>
      <c r="AM8" s="80"/>
      <c r="AN8" s="163">
        <f>'FY20 Payroll Schedule'!K25</f>
        <v>394.47540000000009</v>
      </c>
      <c r="AO8" s="399">
        <f>AN8-AJ8</f>
        <v>8.455400000000111</v>
      </c>
      <c r="AP8" s="396">
        <f>(AN8-AJ8)/AJ8</f>
        <v>2.1904046422465445E-2</v>
      </c>
      <c r="AQ8" s="246" t="s">
        <v>1165</v>
      </c>
    </row>
    <row r="9" spans="1:43" s="114" customFormat="1" ht="19.5" customHeight="1" x14ac:dyDescent="0.25">
      <c r="A9" s="224"/>
      <c r="B9" s="224"/>
      <c r="C9" s="224" t="s">
        <v>26</v>
      </c>
      <c r="D9" s="225">
        <f>SUM(D6:D7)</f>
        <v>29575</v>
      </c>
      <c r="E9" s="225">
        <f>SUM(E6:E7)</f>
        <v>28566.959999999999</v>
      </c>
      <c r="F9" s="226">
        <v>5.3800000000000001E-2</v>
      </c>
      <c r="G9" s="224"/>
      <c r="H9" s="225">
        <f>SUM(H6:H7)</f>
        <v>29093</v>
      </c>
      <c r="I9" s="225">
        <f>SUM(I6:I7)</f>
        <v>29092.95</v>
      </c>
      <c r="J9" s="226">
        <v>5.3800000000000001E-2</v>
      </c>
      <c r="K9" s="224"/>
      <c r="L9" s="225">
        <f>SUM(L6:L8)</f>
        <v>30658.91</v>
      </c>
      <c r="M9" s="225">
        <f>SUM(M6:M7)</f>
        <v>30560.639999999999</v>
      </c>
      <c r="N9" s="226">
        <v>5.3800000000000001E-2</v>
      </c>
      <c r="O9" s="224"/>
      <c r="P9" s="225">
        <f>SUM(P6:P8)</f>
        <v>32177.93</v>
      </c>
      <c r="Q9" s="225">
        <f>SUM(Q6:Q7)</f>
        <v>32212.68</v>
      </c>
      <c r="R9" s="226">
        <v>5.3800000000000001E-2</v>
      </c>
      <c r="S9" s="224"/>
      <c r="T9" s="225">
        <f>SUM(T6:T8)</f>
        <v>33571.67</v>
      </c>
      <c r="U9" s="225">
        <f>SUM(U6:U7)</f>
        <v>33644.69</v>
      </c>
      <c r="V9" s="226">
        <v>5.3800000000000001E-2</v>
      </c>
      <c r="W9" s="224"/>
      <c r="X9" s="225">
        <f>SUM(X6:X8)</f>
        <v>35365.15</v>
      </c>
      <c r="Y9" s="225">
        <f>SUM(Y6:Y7)</f>
        <v>35064.54</v>
      </c>
      <c r="Z9" s="226">
        <f>(X9-T9)/T9</f>
        <v>5.3422424323842192E-2</v>
      </c>
      <c r="AA9" s="224"/>
      <c r="AB9" s="225">
        <f>SUM(AB6:AB8)</f>
        <v>36609.479999999996</v>
      </c>
      <c r="AC9" s="225">
        <f>SUM(AC6:AC8)</f>
        <v>36609.56</v>
      </c>
      <c r="AD9" s="226">
        <f>(AB9-X9)/X9</f>
        <v>3.5185203512497314E-2</v>
      </c>
      <c r="AE9" s="224"/>
      <c r="AF9" s="382">
        <f>SUM(AF6:AF8)</f>
        <v>41963.47</v>
      </c>
      <c r="AG9" s="225">
        <f>SUM(AG6:AG8)</f>
        <v>41963.53</v>
      </c>
      <c r="AH9" s="226">
        <f>(AF9-AB9)/AB9</f>
        <v>0.14624599967003099</v>
      </c>
      <c r="AI9" s="226"/>
      <c r="AJ9" s="225">
        <f>SUM(AJ6:AJ8)</f>
        <v>43987.92</v>
      </c>
      <c r="AK9" s="225">
        <f>SUM(AK6:AK8)</f>
        <v>21373.55</v>
      </c>
      <c r="AL9" s="226">
        <f>(AJ9-AF9)/AF9</f>
        <v>4.8243150530687694E-2</v>
      </c>
      <c r="AM9" s="226"/>
      <c r="AN9" s="225">
        <f>SUM(AN6:AN8)</f>
        <v>44842.015400000011</v>
      </c>
      <c r="AO9" s="225">
        <f>SUM(AO6:AO8)</f>
        <v>854.09540000000675</v>
      </c>
      <c r="AP9" s="226">
        <f>(AN9-AJ9)/AJ9</f>
        <v>1.9416589827389266E-2</v>
      </c>
      <c r="AQ9" s="224"/>
    </row>
    <row r="10" spans="1:43" ht="19.5" customHeight="1" x14ac:dyDescent="0.25">
      <c r="D10" s="112"/>
      <c r="E10" s="112"/>
      <c r="F10" s="216"/>
      <c r="H10" s="112"/>
      <c r="I10" s="112"/>
      <c r="J10" s="216"/>
      <c r="L10" s="112"/>
      <c r="M10" s="112"/>
      <c r="N10" s="216"/>
      <c r="P10" s="112"/>
      <c r="Q10" s="112"/>
      <c r="R10" s="216"/>
      <c r="T10" s="112"/>
      <c r="U10" s="112"/>
      <c r="V10" s="80"/>
      <c r="X10" s="112"/>
      <c r="Y10" s="112"/>
      <c r="Z10" s="80"/>
      <c r="AB10" s="112"/>
      <c r="AC10" s="112"/>
      <c r="AD10" s="80"/>
      <c r="AF10" s="399"/>
      <c r="AG10" s="112"/>
      <c r="AH10" s="396"/>
      <c r="AI10" s="396"/>
      <c r="AJ10" s="212"/>
      <c r="AK10" s="112"/>
      <c r="AL10" s="396"/>
      <c r="AM10" s="80"/>
      <c r="AP10" s="396"/>
      <c r="AQ10" s="140"/>
    </row>
    <row r="11" spans="1:43" ht="19.5" customHeight="1" x14ac:dyDescent="0.25">
      <c r="C11" s="111" t="s">
        <v>277</v>
      </c>
      <c r="D11" s="112"/>
      <c r="E11" s="245"/>
      <c r="F11" s="216"/>
      <c r="H11" s="112"/>
      <c r="I11" s="245"/>
      <c r="J11" s="216"/>
      <c r="L11" s="112"/>
      <c r="M11" s="245"/>
      <c r="N11" s="216"/>
      <c r="P11" s="112"/>
      <c r="Q11" s="245"/>
      <c r="R11" s="216"/>
      <c r="T11" s="112"/>
      <c r="U11" s="162"/>
      <c r="V11" s="80"/>
      <c r="X11" s="112"/>
      <c r="Y11" s="162"/>
      <c r="Z11" s="80"/>
      <c r="AB11" s="112"/>
      <c r="AC11" s="162"/>
      <c r="AD11" s="80"/>
      <c r="AF11" s="112"/>
      <c r="AG11" s="398"/>
      <c r="AH11" s="396"/>
      <c r="AI11" s="396"/>
      <c r="AJ11" s="112"/>
      <c r="AK11" s="245"/>
      <c r="AL11" s="396"/>
      <c r="AM11" s="80"/>
      <c r="AP11" s="396"/>
      <c r="AQ11" s="140"/>
    </row>
    <row r="12" spans="1:43" ht="19.5" customHeight="1" x14ac:dyDescent="0.25">
      <c r="A12" s="161" t="s">
        <v>403</v>
      </c>
      <c r="B12" s="119" t="str">
        <f t="shared" ref="B12:B17" si="0">MID(A12,14,4)</f>
        <v>5303</v>
      </c>
      <c r="C12" s="161" t="s">
        <v>1495</v>
      </c>
      <c r="D12" s="245">
        <v>500</v>
      </c>
      <c r="E12" s="245">
        <v>322.5</v>
      </c>
      <c r="F12" s="216"/>
      <c r="H12" s="245">
        <v>500</v>
      </c>
      <c r="I12" s="245">
        <v>110</v>
      </c>
      <c r="J12" s="216"/>
      <c r="L12" s="245">
        <v>500</v>
      </c>
      <c r="M12" s="245">
        <v>233.1</v>
      </c>
      <c r="N12" s="216"/>
      <c r="P12" s="245">
        <v>500</v>
      </c>
      <c r="Q12" s="245">
        <v>35.5</v>
      </c>
      <c r="R12" s="216"/>
      <c r="T12" s="245">
        <v>500</v>
      </c>
      <c r="U12" s="245">
        <v>0</v>
      </c>
      <c r="V12" s="216"/>
      <c r="W12" s="213"/>
      <c r="X12" s="245">
        <v>500</v>
      </c>
      <c r="Y12" s="245">
        <v>0</v>
      </c>
      <c r="Z12" s="216">
        <v>0</v>
      </c>
      <c r="AA12" s="213"/>
      <c r="AB12" s="245">
        <v>500</v>
      </c>
      <c r="AC12" s="245">
        <v>0</v>
      </c>
      <c r="AD12" s="216">
        <v>0</v>
      </c>
      <c r="AF12" s="398">
        <v>500</v>
      </c>
      <c r="AG12" s="398">
        <v>0</v>
      </c>
      <c r="AH12" s="396">
        <f>(AF12-AB12)/AB12</f>
        <v>0</v>
      </c>
      <c r="AI12" s="396"/>
      <c r="AJ12" s="245">
        <v>500</v>
      </c>
      <c r="AK12" s="245">
        <v>0</v>
      </c>
      <c r="AL12" s="396">
        <f>(AJ12-AF12)/AF12</f>
        <v>0</v>
      </c>
      <c r="AM12" s="80"/>
      <c r="AN12" s="141">
        <v>400</v>
      </c>
      <c r="AO12" s="399">
        <f>AN12-AJ12</f>
        <v>-100</v>
      </c>
      <c r="AP12" s="396">
        <f>(AN12-AJ12)/AJ12</f>
        <v>-0.2</v>
      </c>
      <c r="AQ12" s="166"/>
    </row>
    <row r="13" spans="1:43" ht="19.5" customHeight="1" x14ac:dyDescent="0.25">
      <c r="A13" s="161" t="s">
        <v>404</v>
      </c>
      <c r="B13" s="119" t="str">
        <f t="shared" si="0"/>
        <v>5306</v>
      </c>
      <c r="C13" s="161" t="s">
        <v>1599</v>
      </c>
      <c r="D13" s="245">
        <v>100</v>
      </c>
      <c r="E13" s="245">
        <v>41.25</v>
      </c>
      <c r="F13" s="216"/>
      <c r="H13" s="245">
        <v>100</v>
      </c>
      <c r="I13" s="245">
        <v>30</v>
      </c>
      <c r="J13" s="216"/>
      <c r="L13" s="245">
        <v>100</v>
      </c>
      <c r="M13" s="245">
        <v>9.25</v>
      </c>
      <c r="N13" s="216"/>
      <c r="P13" s="245">
        <v>100</v>
      </c>
      <c r="Q13" s="245">
        <v>0</v>
      </c>
      <c r="R13" s="216"/>
      <c r="T13" s="245">
        <v>100</v>
      </c>
      <c r="U13" s="245">
        <v>0</v>
      </c>
      <c r="V13" s="216"/>
      <c r="W13" s="213"/>
      <c r="X13" s="245">
        <v>100</v>
      </c>
      <c r="Y13" s="245">
        <v>0</v>
      </c>
      <c r="Z13" s="216">
        <v>0</v>
      </c>
      <c r="AA13" s="213"/>
      <c r="AB13" s="245">
        <v>100</v>
      </c>
      <c r="AC13" s="245">
        <v>0</v>
      </c>
      <c r="AD13" s="216">
        <v>0</v>
      </c>
      <c r="AF13" s="398">
        <v>100</v>
      </c>
      <c r="AG13" s="398">
        <v>0</v>
      </c>
      <c r="AH13" s="396">
        <f>(AF13-AB13)/AB13</f>
        <v>0</v>
      </c>
      <c r="AI13" s="396"/>
      <c r="AJ13" s="245">
        <v>100</v>
      </c>
      <c r="AK13" s="245">
        <v>0</v>
      </c>
      <c r="AL13" s="396">
        <f>(AJ13-AF13)/AF13</f>
        <v>0</v>
      </c>
      <c r="AM13" s="80"/>
      <c r="AN13" s="141">
        <v>100</v>
      </c>
      <c r="AO13" s="399">
        <f>AN13-AJ13</f>
        <v>0</v>
      </c>
      <c r="AP13" s="396">
        <f>(AN13-AJ13)/AJ13</f>
        <v>0</v>
      </c>
      <c r="AQ13" s="400"/>
    </row>
    <row r="14" spans="1:43" ht="19.5" customHeight="1" x14ac:dyDescent="0.25">
      <c r="A14" s="161" t="s">
        <v>405</v>
      </c>
      <c r="B14" s="119" t="str">
        <f t="shared" si="0"/>
        <v>5344</v>
      </c>
      <c r="C14" s="161" t="s">
        <v>1601</v>
      </c>
      <c r="D14" s="245">
        <v>231</v>
      </c>
      <c r="E14" s="245">
        <v>341.5</v>
      </c>
      <c r="F14" s="216"/>
      <c r="H14" s="245">
        <v>231</v>
      </c>
      <c r="I14" s="245">
        <v>187.96</v>
      </c>
      <c r="J14" s="216"/>
      <c r="L14" s="245">
        <v>231</v>
      </c>
      <c r="M14" s="245">
        <v>393.65</v>
      </c>
      <c r="N14" s="216"/>
      <c r="P14" s="245">
        <v>231</v>
      </c>
      <c r="Q14" s="245">
        <v>249.15</v>
      </c>
      <c r="R14" s="216"/>
      <c r="T14" s="245">
        <v>400</v>
      </c>
      <c r="U14" s="245">
        <v>257.92</v>
      </c>
      <c r="V14" s="216"/>
      <c r="W14" s="213"/>
      <c r="X14" s="245">
        <v>400</v>
      </c>
      <c r="Y14" s="245">
        <v>245.83</v>
      </c>
      <c r="Z14" s="216">
        <v>0</v>
      </c>
      <c r="AA14" s="213"/>
      <c r="AB14" s="245">
        <v>400</v>
      </c>
      <c r="AC14" s="245">
        <v>127.77</v>
      </c>
      <c r="AD14" s="216">
        <v>0</v>
      </c>
      <c r="AF14" s="398">
        <v>400</v>
      </c>
      <c r="AG14" s="398">
        <v>150.66</v>
      </c>
      <c r="AH14" s="396">
        <f>(AF14-AB14)/AB14</f>
        <v>0</v>
      </c>
      <c r="AI14" s="396"/>
      <c r="AJ14" s="245">
        <v>400</v>
      </c>
      <c r="AK14" s="245">
        <v>62.49</v>
      </c>
      <c r="AL14" s="396">
        <f>(AJ14-AF14)/AF14</f>
        <v>0</v>
      </c>
      <c r="AM14" s="80"/>
      <c r="AN14" s="141">
        <v>500</v>
      </c>
      <c r="AO14" s="399">
        <f>AN14-AJ14</f>
        <v>100</v>
      </c>
      <c r="AP14" s="396">
        <f>(AN14-AJ14)/AJ14</f>
        <v>0.25</v>
      </c>
      <c r="AQ14" s="400" t="s">
        <v>1964</v>
      </c>
    </row>
    <row r="15" spans="1:43" ht="19.5" customHeight="1" x14ac:dyDescent="0.25">
      <c r="A15" s="161" t="s">
        <v>406</v>
      </c>
      <c r="B15" s="119" t="str">
        <f t="shared" si="0"/>
        <v>5710</v>
      </c>
      <c r="C15" s="161" t="s">
        <v>1605</v>
      </c>
      <c r="D15" s="245">
        <v>300</v>
      </c>
      <c r="E15" s="245">
        <v>158</v>
      </c>
      <c r="F15" s="216"/>
      <c r="H15" s="245">
        <v>300</v>
      </c>
      <c r="I15" s="245">
        <v>0</v>
      </c>
      <c r="J15" s="216"/>
      <c r="L15" s="245">
        <v>300</v>
      </c>
      <c r="M15" s="245">
        <v>294.32</v>
      </c>
      <c r="N15" s="216"/>
      <c r="P15" s="245">
        <v>300</v>
      </c>
      <c r="Q15" s="245">
        <v>86</v>
      </c>
      <c r="R15" s="216"/>
      <c r="T15" s="245">
        <v>300</v>
      </c>
      <c r="U15" s="245">
        <v>0</v>
      </c>
      <c r="V15" s="216"/>
      <c r="W15" s="213"/>
      <c r="X15" s="245">
        <v>300</v>
      </c>
      <c r="Y15" s="245">
        <v>0</v>
      </c>
      <c r="Z15" s="216">
        <v>0</v>
      </c>
      <c r="AA15" s="213"/>
      <c r="AB15" s="245">
        <v>300</v>
      </c>
      <c r="AC15" s="245">
        <v>0</v>
      </c>
      <c r="AD15" s="216">
        <v>0</v>
      </c>
      <c r="AF15" s="398">
        <v>300</v>
      </c>
      <c r="AG15" s="398">
        <v>0</v>
      </c>
      <c r="AH15" s="396">
        <f>(AF15-AB15)/AB15</f>
        <v>0</v>
      </c>
      <c r="AI15" s="396"/>
      <c r="AJ15" s="245">
        <v>300</v>
      </c>
      <c r="AK15" s="245">
        <v>0</v>
      </c>
      <c r="AL15" s="396">
        <f>(AJ15-AF15)/AF15</f>
        <v>0</v>
      </c>
      <c r="AM15" s="80"/>
      <c r="AN15" s="141">
        <v>200</v>
      </c>
      <c r="AO15" s="399">
        <f>AN15-AJ15</f>
        <v>-100</v>
      </c>
      <c r="AP15" s="396">
        <f>(AN15-AJ15)/AJ15</f>
        <v>-0.33333333333333331</v>
      </c>
      <c r="AQ15" s="166"/>
    </row>
    <row r="16" spans="1:43" s="211" customFormat="1" ht="19.5" customHeight="1" x14ac:dyDescent="0.25">
      <c r="A16" s="211" t="s">
        <v>407</v>
      </c>
      <c r="B16" s="214" t="str">
        <f t="shared" si="0"/>
        <v>5730</v>
      </c>
      <c r="C16" s="211" t="s">
        <v>1594</v>
      </c>
      <c r="D16" s="245">
        <v>100</v>
      </c>
      <c r="E16" s="245">
        <v>205</v>
      </c>
      <c r="F16" s="216"/>
      <c r="G16" s="213"/>
      <c r="H16" s="245">
        <v>100</v>
      </c>
      <c r="I16" s="245">
        <v>0</v>
      </c>
      <c r="J16" s="216"/>
      <c r="K16" s="213"/>
      <c r="L16" s="245">
        <v>100</v>
      </c>
      <c r="M16" s="245">
        <v>285</v>
      </c>
      <c r="N16" s="216"/>
      <c r="O16" s="213"/>
      <c r="P16" s="245">
        <v>175</v>
      </c>
      <c r="Q16" s="245">
        <v>239</v>
      </c>
      <c r="R16" s="216"/>
      <c r="S16" s="213"/>
      <c r="T16" s="245">
        <v>175</v>
      </c>
      <c r="U16" s="245">
        <v>0</v>
      </c>
      <c r="V16" s="216"/>
      <c r="W16" s="213"/>
      <c r="X16" s="245">
        <v>175</v>
      </c>
      <c r="Y16" s="245">
        <v>183</v>
      </c>
      <c r="Z16" s="216">
        <v>0</v>
      </c>
      <c r="AA16" s="213"/>
      <c r="AB16" s="245">
        <v>190</v>
      </c>
      <c r="AC16" s="245">
        <v>187</v>
      </c>
      <c r="AD16" s="216">
        <v>8.5714285714285715E-2</v>
      </c>
      <c r="AE16" s="213"/>
      <c r="AF16" s="398">
        <v>191</v>
      </c>
      <c r="AG16" s="398">
        <v>191</v>
      </c>
      <c r="AH16" s="396">
        <f>(AF16-AB16)/AB16</f>
        <v>5.263157894736842E-3</v>
      </c>
      <c r="AI16" s="396"/>
      <c r="AJ16" s="245">
        <v>191</v>
      </c>
      <c r="AK16" s="245">
        <v>195</v>
      </c>
      <c r="AL16" s="396">
        <f>(AJ16-AF16)/AF16</f>
        <v>0</v>
      </c>
      <c r="AM16" s="216"/>
      <c r="AN16" s="141">
        <v>195</v>
      </c>
      <c r="AO16" s="399">
        <f>AN16-AJ16</f>
        <v>4</v>
      </c>
      <c r="AP16" s="396">
        <f>(AN16-AJ16)/AJ16</f>
        <v>2.0942408376963352E-2</v>
      </c>
      <c r="AQ16" s="288" t="s">
        <v>1180</v>
      </c>
    </row>
    <row r="17" spans="1:43" s="211" customFormat="1" ht="19.5" customHeight="1" x14ac:dyDescent="0.25">
      <c r="A17" s="214" t="s">
        <v>1390</v>
      </c>
      <c r="B17" s="214" t="str">
        <f t="shared" si="0"/>
        <v>5850</v>
      </c>
      <c r="C17" s="211" t="s">
        <v>1674</v>
      </c>
      <c r="D17" s="245">
        <v>100</v>
      </c>
      <c r="E17" s="245">
        <v>0</v>
      </c>
      <c r="F17" s="216"/>
      <c r="G17" s="213"/>
      <c r="H17" s="245">
        <v>100</v>
      </c>
      <c r="I17" s="245">
        <v>0</v>
      </c>
      <c r="J17" s="216"/>
      <c r="K17" s="213"/>
      <c r="L17" s="245">
        <v>100</v>
      </c>
      <c r="M17" s="245">
        <v>41.94</v>
      </c>
      <c r="N17" s="216"/>
      <c r="O17" s="213"/>
      <c r="P17" s="245">
        <v>0</v>
      </c>
      <c r="Q17" s="245">
        <v>0</v>
      </c>
      <c r="R17" s="216"/>
      <c r="S17" s="213"/>
      <c r="T17" s="245">
        <v>0</v>
      </c>
      <c r="U17" s="245">
        <v>0</v>
      </c>
      <c r="V17" s="216"/>
      <c r="W17" s="213"/>
      <c r="X17" s="245">
        <v>0</v>
      </c>
      <c r="Y17" s="245">
        <v>0</v>
      </c>
      <c r="Z17" s="216"/>
      <c r="AA17" s="213"/>
      <c r="AB17" s="245">
        <v>0</v>
      </c>
      <c r="AC17" s="245">
        <v>0</v>
      </c>
      <c r="AD17" s="216"/>
      <c r="AE17" s="213"/>
      <c r="AF17" s="398"/>
      <c r="AG17" s="398">
        <v>0</v>
      </c>
      <c r="AH17" s="396"/>
      <c r="AI17" s="396"/>
      <c r="AJ17" s="245"/>
      <c r="AK17" s="245"/>
      <c r="AL17" s="396"/>
      <c r="AM17" s="216"/>
      <c r="AN17" s="141"/>
      <c r="AO17" s="212"/>
      <c r="AP17" s="396"/>
      <c r="AQ17" s="288"/>
    </row>
    <row r="18" spans="1:43" s="114" customFormat="1" ht="19.5" customHeight="1" x14ac:dyDescent="0.25">
      <c r="A18" s="219"/>
      <c r="B18" s="219"/>
      <c r="C18" s="219" t="s">
        <v>279</v>
      </c>
      <c r="D18" s="220">
        <f>SUM(D12:D17)</f>
        <v>1331</v>
      </c>
      <c r="E18" s="220">
        <f>SUM(E12:E17)</f>
        <v>1068.25</v>
      </c>
      <c r="F18" s="221">
        <v>0</v>
      </c>
      <c r="G18" s="219"/>
      <c r="H18" s="220">
        <f>SUM(H12:H17)</f>
        <v>1331</v>
      </c>
      <c r="I18" s="220">
        <f>SUM(I12:I17)</f>
        <v>327.96000000000004</v>
      </c>
      <c r="J18" s="221">
        <v>0</v>
      </c>
      <c r="K18" s="219"/>
      <c r="L18" s="220">
        <f>SUM(L12:L17)</f>
        <v>1331</v>
      </c>
      <c r="M18" s="220">
        <f>SUM(M12:M17)</f>
        <v>1257.26</v>
      </c>
      <c r="N18" s="221">
        <v>0</v>
      </c>
      <c r="O18" s="219"/>
      <c r="P18" s="220">
        <f>SUM(P12:P17)</f>
        <v>1306</v>
      </c>
      <c r="Q18" s="220">
        <f>SUM(Q12:Q17)</f>
        <v>609.65</v>
      </c>
      <c r="R18" s="221">
        <v>0</v>
      </c>
      <c r="S18" s="219"/>
      <c r="T18" s="220">
        <f>SUM(T12:T17)</f>
        <v>1475</v>
      </c>
      <c r="U18" s="220">
        <f>SUM(U12:U17)</f>
        <v>257.92</v>
      </c>
      <c r="V18" s="221">
        <v>0</v>
      </c>
      <c r="W18" s="219"/>
      <c r="X18" s="220">
        <f>SUM(X12:X17)</f>
        <v>1475</v>
      </c>
      <c r="Y18" s="220">
        <f>SUM(Y12:Y17)</f>
        <v>428.83000000000004</v>
      </c>
      <c r="Z18" s="222">
        <f>(X18-T18)/T18</f>
        <v>0</v>
      </c>
      <c r="AA18" s="219"/>
      <c r="AB18" s="220">
        <f>SUM(AB12:AB17)</f>
        <v>1490</v>
      </c>
      <c r="AC18" s="220">
        <f>SUM(AC12:AC17)</f>
        <v>314.77</v>
      </c>
      <c r="AD18" s="221">
        <f>(AB18-X18)/X18</f>
        <v>1.0169491525423728E-2</v>
      </c>
      <c r="AE18" s="219"/>
      <c r="AF18" s="401">
        <f>SUM(AF12:AF17)</f>
        <v>1491</v>
      </c>
      <c r="AG18" s="401">
        <f>SUM(AG12:AG17)</f>
        <v>341.65999999999997</v>
      </c>
      <c r="AH18" s="221">
        <f>(AF18-AB18)/AB18</f>
        <v>6.711409395973154E-4</v>
      </c>
      <c r="AI18" s="221"/>
      <c r="AJ18" s="220">
        <f>SUM(AJ12:AJ17)</f>
        <v>1491</v>
      </c>
      <c r="AK18" s="220">
        <f>SUM(AK12:AK17)</f>
        <v>257.49</v>
      </c>
      <c r="AL18" s="221">
        <f>(AJ18-AF18)/AF18</f>
        <v>0</v>
      </c>
      <c r="AM18" s="221"/>
      <c r="AN18" s="223">
        <f>SUM(AN12:AN17)</f>
        <v>1395</v>
      </c>
      <c r="AO18" s="223">
        <f>SUM(AO12:AO16)</f>
        <v>-96</v>
      </c>
      <c r="AP18" s="221">
        <f>(AN18-AJ18)/AJ18</f>
        <v>-6.4386317907444673E-2</v>
      </c>
      <c r="AQ18" s="219"/>
    </row>
    <row r="19" spans="1:43" s="211" customFormat="1" ht="19.5" customHeight="1" x14ac:dyDescent="0.25">
      <c r="D19" s="112"/>
      <c r="E19" s="112"/>
      <c r="F19" s="216"/>
      <c r="G19" s="213"/>
      <c r="H19" s="112"/>
      <c r="I19" s="112"/>
      <c r="J19" s="216"/>
      <c r="K19" s="213"/>
      <c r="L19" s="112"/>
      <c r="M19" s="112"/>
      <c r="N19" s="216"/>
      <c r="O19" s="213"/>
      <c r="P19" s="112"/>
      <c r="Q19" s="112"/>
      <c r="R19" s="216"/>
      <c r="S19" s="213"/>
      <c r="T19" s="112"/>
      <c r="U19" s="112"/>
      <c r="V19" s="216"/>
      <c r="W19" s="213"/>
      <c r="X19" s="112"/>
      <c r="Y19" s="112"/>
      <c r="Z19" s="216"/>
      <c r="AA19" s="213"/>
      <c r="AB19" s="112"/>
      <c r="AC19" s="112"/>
      <c r="AD19" s="216"/>
      <c r="AE19" s="213"/>
      <c r="AF19" s="112"/>
      <c r="AG19" s="112"/>
      <c r="AH19" s="396"/>
      <c r="AI19" s="396"/>
      <c r="AJ19" s="112"/>
      <c r="AK19" s="112"/>
      <c r="AL19" s="396"/>
      <c r="AM19" s="216"/>
      <c r="AN19" s="212"/>
      <c r="AO19" s="212"/>
      <c r="AP19" s="396"/>
    </row>
    <row r="20" spans="1:43" s="114" customFormat="1" ht="19.5" customHeight="1" x14ac:dyDescent="0.2">
      <c r="A20" s="228"/>
      <c r="B20" s="228"/>
      <c r="C20" s="229" t="s">
        <v>280</v>
      </c>
      <c r="D20" s="230">
        <f>D9+D18</f>
        <v>30906</v>
      </c>
      <c r="E20" s="230">
        <f>E9+E18</f>
        <v>29635.21</v>
      </c>
      <c r="F20" s="231">
        <v>5.1499999999999997E-2</v>
      </c>
      <c r="G20" s="228"/>
      <c r="H20" s="230">
        <f>H9+H18</f>
        <v>30424</v>
      </c>
      <c r="I20" s="230">
        <f>I9+I18</f>
        <v>29420.91</v>
      </c>
      <c r="J20" s="231">
        <v>5.1499999999999997E-2</v>
      </c>
      <c r="K20" s="228"/>
      <c r="L20" s="230">
        <f>L9+L18</f>
        <v>31989.91</v>
      </c>
      <c r="M20" s="230">
        <f>M9+M18</f>
        <v>31817.899999999998</v>
      </c>
      <c r="N20" s="231">
        <v>5.1499999999999997E-2</v>
      </c>
      <c r="O20" s="228"/>
      <c r="P20" s="230">
        <f>P9+P18</f>
        <v>33483.93</v>
      </c>
      <c r="Q20" s="230">
        <f>Q9+Q18</f>
        <v>32822.33</v>
      </c>
      <c r="R20" s="231">
        <v>5.1499999999999997E-2</v>
      </c>
      <c r="S20" s="228"/>
      <c r="T20" s="230">
        <f>T9+T18</f>
        <v>35046.67</v>
      </c>
      <c r="U20" s="230">
        <f>U9+U18</f>
        <v>33902.61</v>
      </c>
      <c r="V20" s="231">
        <v>5.1499999999999997E-2</v>
      </c>
      <c r="W20" s="228"/>
      <c r="X20" s="230">
        <f>X9+X18</f>
        <v>36840.15</v>
      </c>
      <c r="Y20" s="230">
        <f>Y9+Y18</f>
        <v>35493.370000000003</v>
      </c>
      <c r="Z20" s="231">
        <f>(X20-T20)/T20</f>
        <v>5.1174048775532832E-2</v>
      </c>
      <c r="AA20" s="228"/>
      <c r="AB20" s="230">
        <f>AB9+AB18</f>
        <v>38099.479999999996</v>
      </c>
      <c r="AC20" s="230">
        <f>AC9+AC18</f>
        <v>36924.329999999994</v>
      </c>
      <c r="AD20" s="231">
        <f>(AB20-X20)/X20</f>
        <v>3.4183628459710243E-2</v>
      </c>
      <c r="AE20" s="228"/>
      <c r="AF20" s="382">
        <f>AF9+AF18</f>
        <v>43454.47</v>
      </c>
      <c r="AG20" s="402">
        <f>AG9+AG18</f>
        <v>42305.19</v>
      </c>
      <c r="AH20" s="231">
        <f>(AF20-AB20)/AB20</f>
        <v>0.1405528369416067</v>
      </c>
      <c r="AI20" s="231"/>
      <c r="AJ20" s="230">
        <f>AJ9+AJ18</f>
        <v>45478.92</v>
      </c>
      <c r="AK20" s="230">
        <f>AK9+AK18</f>
        <v>21631.040000000001</v>
      </c>
      <c r="AL20" s="231">
        <f>(AJ20-AF20)/AF20</f>
        <v>4.6587842401483601E-2</v>
      </c>
      <c r="AM20" s="231"/>
      <c r="AN20" s="230">
        <f>AN9+AN18</f>
        <v>46237.015400000011</v>
      </c>
      <c r="AO20" s="230">
        <f>AO9+AO18</f>
        <v>758.09540000000675</v>
      </c>
      <c r="AP20" s="231">
        <f>(AN20-AJ20)/AJ20</f>
        <v>1.6669160129572404E-2</v>
      </c>
      <c r="AQ20" s="233"/>
    </row>
    <row r="21" spans="1:43" ht="19.5" customHeight="1" x14ac:dyDescent="0.25">
      <c r="D21" s="120"/>
      <c r="H21" s="120"/>
      <c r="L21" s="120"/>
      <c r="P21" s="120"/>
      <c r="T21" s="120"/>
      <c r="X21" s="120"/>
      <c r="AB21" s="120"/>
      <c r="AF21" s="403"/>
      <c r="AJ21" s="120"/>
      <c r="AN21" s="279"/>
    </row>
    <row r="22" spans="1:43" s="111" customFormat="1" ht="19.5" customHeight="1" thickBot="1" x14ac:dyDescent="0.25">
      <c r="C22" s="111" t="s">
        <v>281</v>
      </c>
      <c r="D22" s="122"/>
      <c r="E22" s="121">
        <f>D20-E20</f>
        <v>1270.7900000000009</v>
      </c>
      <c r="G22" s="118"/>
      <c r="H22" s="122"/>
      <c r="I22" s="121">
        <f>H20-I20</f>
        <v>1003.0900000000001</v>
      </c>
      <c r="K22" s="118"/>
      <c r="L22" s="122"/>
      <c r="M22" s="121">
        <f>L20-M20</f>
        <v>172.01000000000204</v>
      </c>
      <c r="O22" s="118"/>
      <c r="P22" s="122"/>
      <c r="Q22" s="121">
        <f>P20-Q20</f>
        <v>661.59999999999854</v>
      </c>
      <c r="S22" s="118"/>
      <c r="T22" s="122"/>
      <c r="U22" s="121">
        <f>T20-U20</f>
        <v>1144.0599999999977</v>
      </c>
      <c r="W22" s="118"/>
      <c r="X22" s="122"/>
      <c r="Y22" s="121">
        <f>X20-Y20</f>
        <v>1346.7799999999988</v>
      </c>
      <c r="AA22" s="118"/>
      <c r="AB22" s="122"/>
      <c r="AC22" s="121">
        <f>AB20-AC20</f>
        <v>1175.1500000000015</v>
      </c>
      <c r="AE22" s="118"/>
      <c r="AF22" s="122"/>
      <c r="AG22" s="121">
        <f>AF20-AG20</f>
        <v>1149.2799999999988</v>
      </c>
      <c r="AJ22" s="122"/>
      <c r="AK22" s="121">
        <f>AJ20-AK20</f>
        <v>23847.879999999997</v>
      </c>
      <c r="AN22" s="123"/>
      <c r="AO22" s="123"/>
    </row>
    <row r="23" spans="1:43" ht="19.5" customHeight="1" thickTop="1" x14ac:dyDescent="0.25">
      <c r="D23" s="120"/>
      <c r="F23" s="216"/>
      <c r="H23" s="120"/>
      <c r="J23" s="216"/>
      <c r="L23" s="120"/>
      <c r="N23" s="216"/>
      <c r="P23" s="120"/>
      <c r="R23" s="216"/>
      <c r="T23" s="120"/>
      <c r="V23" s="80"/>
      <c r="X23" s="120"/>
      <c r="AB23" s="120"/>
      <c r="AF23" s="403"/>
      <c r="AJ23" s="120"/>
      <c r="AN23" s="240" t="s">
        <v>1195</v>
      </c>
      <c r="AO23" s="241"/>
      <c r="AP23" s="242"/>
      <c r="AQ23" s="211"/>
    </row>
    <row r="24" spans="1:43" x14ac:dyDescent="0.25">
      <c r="A24" s="397"/>
      <c r="B24" s="397"/>
      <c r="C24" s="414"/>
      <c r="D24" s="397"/>
      <c r="E24" s="397"/>
      <c r="F24" s="4"/>
      <c r="G24" s="397"/>
      <c r="H24" s="397"/>
      <c r="I24" s="397"/>
      <c r="J24" s="4"/>
      <c r="K24" s="397"/>
      <c r="L24" s="397"/>
      <c r="M24" s="397"/>
      <c r="N24" s="4"/>
      <c r="O24" s="397"/>
      <c r="P24" s="397"/>
      <c r="Q24" s="397"/>
      <c r="R24" s="4"/>
      <c r="S24" s="397"/>
      <c r="T24" s="397"/>
      <c r="U24" s="397"/>
      <c r="V24" s="4"/>
      <c r="W24" s="397"/>
      <c r="X24" s="397"/>
      <c r="Y24" s="397"/>
      <c r="Z24" s="397"/>
      <c r="AA24" s="397"/>
      <c r="AB24" s="397"/>
      <c r="AC24" s="397"/>
      <c r="AD24" s="397"/>
      <c r="AE24" s="397"/>
      <c r="AF24" s="397"/>
      <c r="AG24" s="397"/>
      <c r="AH24" s="397"/>
      <c r="AI24" s="397"/>
      <c r="AJ24" s="397"/>
      <c r="AK24" s="397"/>
      <c r="AL24" s="397"/>
      <c r="AM24" s="397"/>
      <c r="AN24" s="243" t="s">
        <v>313</v>
      </c>
      <c r="AO24" s="5"/>
      <c r="AP24" s="299">
        <f>AN9*0.0145</f>
        <v>650.20922330000019</v>
      </c>
      <c r="AQ24" s="211"/>
    </row>
    <row r="25" spans="1:43" ht="13.5" customHeight="1" x14ac:dyDescent="0.25">
      <c r="A25" s="176"/>
      <c r="B25" s="174"/>
      <c r="C25" s="176"/>
      <c r="D25" s="399"/>
      <c r="E25" s="399"/>
      <c r="F25" s="4"/>
      <c r="G25" s="397"/>
      <c r="H25" s="399"/>
      <c r="I25" s="399"/>
      <c r="J25" s="4"/>
      <c r="K25" s="397"/>
      <c r="L25" s="399"/>
      <c r="M25" s="399"/>
      <c r="N25" s="4"/>
      <c r="O25" s="397"/>
      <c r="P25" s="399"/>
      <c r="Q25" s="399"/>
      <c r="R25" s="4"/>
      <c r="S25" s="397"/>
      <c r="T25" s="399"/>
      <c r="U25" s="399"/>
      <c r="V25" s="4"/>
      <c r="W25" s="397"/>
      <c r="X25" s="399"/>
      <c r="Y25" s="399"/>
      <c r="Z25" s="4"/>
      <c r="AA25" s="397"/>
      <c r="AB25" s="399"/>
      <c r="AC25" s="399"/>
      <c r="AD25" s="4"/>
      <c r="AE25" s="397"/>
      <c r="AF25" s="399"/>
      <c r="AG25" s="399"/>
      <c r="AH25" s="4"/>
      <c r="AI25" s="4"/>
      <c r="AJ25" s="399"/>
      <c r="AK25" s="399"/>
      <c r="AL25" s="4"/>
      <c r="AM25" s="4"/>
      <c r="AN25" s="210" t="s">
        <v>314</v>
      </c>
      <c r="AO25" s="5"/>
      <c r="AP25" s="299">
        <f>AN9*0.0009</f>
        <v>40.357813860000007</v>
      </c>
      <c r="AQ25" s="211"/>
    </row>
    <row r="26" spans="1:43" x14ac:dyDescent="0.25">
      <c r="A26" s="175"/>
      <c r="B26" s="174"/>
      <c r="C26" s="176"/>
      <c r="D26" s="399"/>
      <c r="E26" s="399"/>
      <c r="F26" s="4"/>
      <c r="G26" s="397"/>
      <c r="H26" s="399"/>
      <c r="I26" s="399"/>
      <c r="J26" s="4"/>
      <c r="K26" s="397"/>
      <c r="L26" s="399"/>
      <c r="M26" s="399"/>
      <c r="N26" s="4"/>
      <c r="O26" s="397"/>
      <c r="P26" s="399"/>
      <c r="Q26" s="399"/>
      <c r="R26" s="4"/>
      <c r="S26" s="397"/>
      <c r="T26" s="399"/>
      <c r="U26" s="399"/>
      <c r="V26" s="4"/>
      <c r="W26" s="397"/>
      <c r="X26" s="399"/>
      <c r="Y26" s="399"/>
      <c r="Z26" s="4"/>
      <c r="AA26" s="397"/>
      <c r="AB26" s="399"/>
      <c r="AC26" s="399"/>
      <c r="AD26" s="4"/>
      <c r="AE26" s="397"/>
      <c r="AF26" s="399"/>
      <c r="AG26" s="399"/>
      <c r="AH26" s="4"/>
      <c r="AI26" s="4"/>
      <c r="AJ26" s="399"/>
      <c r="AK26" s="399"/>
      <c r="AL26" s="4"/>
      <c r="AM26" s="4"/>
      <c r="AN26" s="210" t="s">
        <v>315</v>
      </c>
      <c r="AO26" s="5"/>
      <c r="AP26" s="299">
        <f>AN9*0.003</f>
        <v>134.52604620000002</v>
      </c>
      <c r="AQ26" s="211"/>
    </row>
    <row r="27" spans="1:43" x14ac:dyDescent="0.25">
      <c r="A27" s="414"/>
      <c r="B27" s="397"/>
      <c r="C27" s="118"/>
      <c r="D27" s="415"/>
      <c r="E27" s="415"/>
      <c r="F27" s="4"/>
      <c r="G27" s="118"/>
      <c r="H27" s="415"/>
      <c r="I27" s="415"/>
      <c r="J27" s="4"/>
      <c r="K27" s="118"/>
      <c r="L27" s="415"/>
      <c r="M27" s="415"/>
      <c r="N27" s="4"/>
      <c r="O27" s="118"/>
      <c r="P27" s="415"/>
      <c r="Q27" s="415"/>
      <c r="R27" s="4"/>
      <c r="S27" s="118"/>
      <c r="T27" s="415"/>
      <c r="U27" s="415"/>
      <c r="V27" s="4"/>
      <c r="W27" s="118"/>
      <c r="X27" s="415"/>
      <c r="Y27" s="415"/>
      <c r="Z27" s="4"/>
      <c r="AA27" s="397"/>
      <c r="AB27" s="399"/>
      <c r="AC27" s="399"/>
      <c r="AD27" s="4"/>
      <c r="AE27" s="397"/>
      <c r="AF27" s="399"/>
      <c r="AG27" s="399"/>
      <c r="AH27" s="4"/>
      <c r="AI27" s="4"/>
      <c r="AJ27" s="399"/>
      <c r="AK27" s="399"/>
      <c r="AL27" s="4"/>
      <c r="AM27" s="4"/>
      <c r="AN27" s="210" t="s">
        <v>316</v>
      </c>
      <c r="AO27" s="5"/>
      <c r="AP27" s="299">
        <f>'County Retirement'!G11</f>
        <v>4872.7921098481074</v>
      </c>
      <c r="AQ27" s="211"/>
    </row>
    <row r="28" spans="1:43" x14ac:dyDescent="0.25">
      <c r="A28" s="397"/>
      <c r="B28" s="397"/>
      <c r="C28" s="397"/>
      <c r="D28" s="397"/>
      <c r="E28" s="397"/>
      <c r="F28" s="4"/>
      <c r="G28" s="397"/>
      <c r="H28" s="397"/>
      <c r="I28" s="397"/>
      <c r="J28" s="4"/>
      <c r="K28" s="397"/>
      <c r="L28" s="397"/>
      <c r="M28" s="397"/>
      <c r="N28" s="4"/>
      <c r="O28" s="397"/>
      <c r="P28" s="397"/>
      <c r="Q28" s="397"/>
      <c r="R28" s="4"/>
      <c r="S28" s="397"/>
      <c r="T28" s="397"/>
      <c r="U28" s="397"/>
      <c r="V28" s="4"/>
      <c r="W28" s="397"/>
      <c r="X28" s="397"/>
      <c r="Y28" s="397"/>
      <c r="Z28" s="397"/>
      <c r="AA28" s="397"/>
      <c r="AB28" s="397"/>
      <c r="AC28" s="397"/>
      <c r="AD28" s="397"/>
      <c r="AE28" s="397"/>
      <c r="AF28" s="397"/>
      <c r="AG28" s="397"/>
      <c r="AH28" s="397"/>
      <c r="AI28" s="397"/>
      <c r="AJ28" s="397"/>
      <c r="AK28" s="397"/>
      <c r="AL28" s="397"/>
      <c r="AM28" s="397"/>
      <c r="AN28" s="210" t="s">
        <v>317</v>
      </c>
      <c r="AO28" s="5"/>
      <c r="AP28" s="302">
        <f>'Health Ins'!L17</f>
        <v>10089</v>
      </c>
      <c r="AQ28" s="211"/>
    </row>
    <row r="29" spans="1:43" x14ac:dyDescent="0.25">
      <c r="F29" s="216"/>
      <c r="J29" s="216"/>
      <c r="N29" s="216"/>
      <c r="R29" s="216"/>
      <c r="V29" s="80"/>
      <c r="AN29" s="235"/>
      <c r="AO29" s="237"/>
      <c r="AP29" s="301">
        <f>SUM(AP24:AP28)</f>
        <v>15786.885193208109</v>
      </c>
      <c r="AQ29" s="211"/>
    </row>
    <row r="30" spans="1:43" x14ac:dyDescent="0.25">
      <c r="F30" s="216"/>
      <c r="J30" s="216"/>
      <c r="N30" s="216"/>
      <c r="R30" s="216"/>
      <c r="V30" s="80"/>
      <c r="AN30" s="212"/>
      <c r="AO30" s="212"/>
      <c r="AP30" s="211"/>
      <c r="AQ30" s="211"/>
    </row>
    <row r="31" spans="1:43" x14ac:dyDescent="0.25">
      <c r="F31" s="216"/>
      <c r="J31" s="216"/>
      <c r="N31" s="216"/>
      <c r="R31" s="216"/>
      <c r="V31" s="80"/>
      <c r="AN31" s="212"/>
      <c r="AO31" s="212"/>
      <c r="AP31" s="211"/>
      <c r="AQ31" s="211"/>
    </row>
    <row r="32" spans="1:43" x14ac:dyDescent="0.25">
      <c r="D32" s="120"/>
      <c r="F32" s="216"/>
      <c r="H32" s="120"/>
      <c r="J32" s="216"/>
      <c r="L32" s="120"/>
      <c r="N32" s="216"/>
      <c r="P32" s="120"/>
      <c r="R32" s="216"/>
      <c r="T32" s="120"/>
      <c r="V32" s="80"/>
      <c r="X32" s="120"/>
      <c r="AB32" s="120"/>
      <c r="AF32" s="403"/>
      <c r="AJ32" s="120"/>
      <c r="AN32" s="212"/>
      <c r="AO32" s="212"/>
      <c r="AP32" s="211"/>
      <c r="AQ32" s="211"/>
    </row>
    <row r="33" spans="4:43" x14ac:dyDescent="0.25">
      <c r="D33" s="120"/>
      <c r="F33" s="216"/>
      <c r="H33" s="120"/>
      <c r="J33" s="216"/>
      <c r="L33" s="120"/>
      <c r="N33" s="216"/>
      <c r="P33" s="120"/>
      <c r="R33" s="216"/>
      <c r="T33" s="120"/>
      <c r="V33" s="80"/>
      <c r="X33" s="120"/>
      <c r="AB33" s="120"/>
      <c r="AF33" s="403"/>
      <c r="AJ33" s="120"/>
      <c r="AN33" s="131"/>
      <c r="AO33" s="131"/>
      <c r="AP33" s="211"/>
      <c r="AQ33" s="211"/>
    </row>
    <row r="34" spans="4:43" x14ac:dyDescent="0.25">
      <c r="D34" s="120"/>
      <c r="F34" s="216"/>
      <c r="H34" s="120"/>
      <c r="J34" s="216"/>
      <c r="L34" s="120"/>
      <c r="N34" s="216"/>
      <c r="P34" s="120"/>
      <c r="R34" s="216"/>
      <c r="T34" s="120"/>
      <c r="V34" s="80"/>
      <c r="X34" s="120"/>
      <c r="AB34" s="120"/>
      <c r="AF34" s="403"/>
      <c r="AJ34" s="120"/>
      <c r="AN34" s="131"/>
      <c r="AO34" s="131"/>
      <c r="AP34" s="211"/>
      <c r="AQ34" s="211"/>
    </row>
    <row r="35" spans="4:43" x14ac:dyDescent="0.25">
      <c r="D35" s="120"/>
      <c r="F35" s="216"/>
      <c r="H35" s="120"/>
      <c r="J35" s="216"/>
      <c r="L35" s="120"/>
      <c r="N35" s="216"/>
      <c r="P35" s="120"/>
      <c r="R35" s="216"/>
      <c r="T35" s="120"/>
      <c r="V35" s="80"/>
      <c r="X35" s="120"/>
      <c r="AB35" s="120"/>
      <c r="AF35" s="403"/>
      <c r="AJ35" s="120"/>
      <c r="AN35" s="131"/>
      <c r="AO35" s="131"/>
      <c r="AP35" s="211"/>
      <c r="AQ35" s="211"/>
    </row>
    <row r="36" spans="4:43" x14ac:dyDescent="0.25">
      <c r="D36" s="120"/>
      <c r="F36" s="216"/>
      <c r="H36" s="120"/>
      <c r="J36" s="216"/>
      <c r="L36" s="120"/>
      <c r="N36" s="216"/>
      <c r="P36" s="120"/>
      <c r="R36" s="216"/>
      <c r="T36" s="120"/>
      <c r="V36" s="80"/>
      <c r="X36" s="120"/>
      <c r="AB36" s="120"/>
      <c r="AF36" s="403"/>
      <c r="AJ36" s="120"/>
    </row>
    <row r="37" spans="4:43" x14ac:dyDescent="0.25">
      <c r="D37" s="120"/>
      <c r="F37" s="216"/>
      <c r="H37" s="120"/>
      <c r="J37" s="216"/>
      <c r="L37" s="120"/>
      <c r="N37" s="216"/>
      <c r="P37" s="120"/>
      <c r="R37" s="216"/>
      <c r="T37" s="120"/>
      <c r="V37" s="80"/>
      <c r="X37" s="120"/>
      <c r="AB37" s="120"/>
      <c r="AF37" s="403"/>
      <c r="AJ37" s="120"/>
    </row>
    <row r="38" spans="4:43" x14ac:dyDescent="0.25">
      <c r="D38" s="120"/>
      <c r="F38" s="216"/>
      <c r="H38" s="120"/>
      <c r="J38" s="216"/>
      <c r="L38" s="120"/>
      <c r="N38" s="216"/>
      <c r="P38" s="120"/>
      <c r="R38" s="216"/>
      <c r="T38" s="120"/>
      <c r="V38" s="80"/>
      <c r="X38" s="120"/>
      <c r="AB38" s="120"/>
      <c r="AF38" s="403"/>
      <c r="AJ38" s="120"/>
    </row>
    <row r="39" spans="4:43" x14ac:dyDescent="0.25">
      <c r="D39" s="120"/>
      <c r="F39" s="216"/>
      <c r="H39" s="120"/>
      <c r="J39" s="216"/>
      <c r="L39" s="120"/>
      <c r="N39" s="216"/>
      <c r="P39" s="120"/>
      <c r="R39" s="216"/>
      <c r="T39" s="120"/>
      <c r="V39" s="80"/>
      <c r="X39" s="120"/>
      <c r="AB39" s="120"/>
      <c r="AF39" s="403"/>
      <c r="AJ39" s="120"/>
    </row>
    <row r="40" spans="4:43" x14ac:dyDescent="0.25">
      <c r="D40" s="120"/>
      <c r="F40" s="216"/>
      <c r="H40" s="120"/>
      <c r="J40" s="216"/>
      <c r="L40" s="120"/>
      <c r="N40" s="216"/>
      <c r="P40" s="120"/>
      <c r="R40" s="216"/>
      <c r="T40" s="120"/>
      <c r="V40" s="80"/>
      <c r="X40" s="120"/>
      <c r="AB40" s="120"/>
      <c r="AF40" s="403"/>
      <c r="AJ40" s="120"/>
    </row>
    <row r="41" spans="4:43" x14ac:dyDescent="0.25">
      <c r="D41" s="120"/>
      <c r="H41" s="120"/>
      <c r="L41" s="120"/>
      <c r="P41" s="120"/>
      <c r="T41" s="120"/>
      <c r="X41" s="120"/>
      <c r="AB41" s="120"/>
      <c r="AF41" s="403"/>
      <c r="AJ41" s="120"/>
    </row>
    <row r="42" spans="4:43" x14ac:dyDescent="0.25">
      <c r="D42" s="120"/>
      <c r="H42" s="120"/>
      <c r="L42" s="120"/>
      <c r="P42" s="120"/>
      <c r="T42" s="120"/>
      <c r="X42" s="120"/>
      <c r="AB42" s="120"/>
      <c r="AF42" s="403"/>
      <c r="AJ42" s="120"/>
    </row>
    <row r="43" spans="4:43" x14ac:dyDescent="0.25">
      <c r="D43" s="120"/>
      <c r="H43" s="120"/>
      <c r="L43" s="120"/>
      <c r="P43" s="120"/>
      <c r="T43" s="120"/>
      <c r="X43" s="120"/>
      <c r="AB43" s="120"/>
      <c r="AF43" s="403"/>
      <c r="AJ43" s="120"/>
    </row>
    <row r="44" spans="4:43" x14ac:dyDescent="0.25">
      <c r="D44" s="120"/>
      <c r="H44" s="120"/>
      <c r="L44" s="120"/>
      <c r="P44" s="120"/>
      <c r="T44" s="120"/>
      <c r="X44" s="120"/>
      <c r="AB44" s="120"/>
      <c r="AF44" s="403"/>
      <c r="AJ44" s="120"/>
    </row>
    <row r="45" spans="4:43" x14ac:dyDescent="0.25">
      <c r="D45" s="120"/>
      <c r="H45" s="120"/>
      <c r="L45" s="120"/>
      <c r="P45" s="120"/>
      <c r="T45" s="120"/>
      <c r="X45" s="120"/>
      <c r="AB45" s="120"/>
      <c r="AF45" s="403"/>
      <c r="AJ45" s="120"/>
    </row>
    <row r="46" spans="4:43" x14ac:dyDescent="0.25">
      <c r="D46" s="120"/>
      <c r="H46" s="120"/>
      <c r="L46" s="120"/>
      <c r="P46" s="120"/>
      <c r="T46" s="120"/>
      <c r="X46" s="120"/>
      <c r="AB46" s="120"/>
      <c r="AF46" s="403"/>
      <c r="AJ46" s="120"/>
    </row>
    <row r="47" spans="4:43" x14ac:dyDescent="0.25">
      <c r="D47" s="120"/>
      <c r="H47" s="120"/>
      <c r="L47" s="120"/>
      <c r="P47" s="120"/>
      <c r="T47" s="120"/>
      <c r="X47" s="120"/>
      <c r="AB47" s="120"/>
      <c r="AF47" s="403"/>
      <c r="AJ47" s="120"/>
    </row>
    <row r="48" spans="4:43" x14ac:dyDescent="0.25">
      <c r="D48" s="120"/>
      <c r="H48" s="120"/>
      <c r="L48" s="120"/>
      <c r="P48" s="120"/>
      <c r="T48" s="120"/>
      <c r="X48" s="120"/>
      <c r="AB48" s="120"/>
      <c r="AF48" s="403"/>
      <c r="AJ48" s="120"/>
    </row>
    <row r="49" spans="4:36" x14ac:dyDescent="0.25">
      <c r="D49" s="120"/>
      <c r="H49" s="120"/>
      <c r="L49" s="120"/>
      <c r="P49" s="120"/>
      <c r="T49" s="120"/>
      <c r="X49" s="120"/>
      <c r="AB49" s="120"/>
      <c r="AF49" s="403"/>
      <c r="AJ49" s="120"/>
    </row>
    <row r="50" spans="4:36" x14ac:dyDescent="0.25">
      <c r="D50" s="120"/>
      <c r="H50" s="120"/>
      <c r="L50" s="120"/>
      <c r="P50" s="120"/>
      <c r="T50" s="120"/>
      <c r="X50" s="120"/>
      <c r="AB50" s="120"/>
      <c r="AF50" s="403"/>
      <c r="AJ50" s="120"/>
    </row>
    <row r="51" spans="4:36" x14ac:dyDescent="0.25">
      <c r="D51" s="120"/>
      <c r="H51" s="120"/>
      <c r="L51" s="120"/>
      <c r="P51" s="120"/>
      <c r="T51" s="120"/>
      <c r="X51" s="120"/>
      <c r="AB51" s="120"/>
      <c r="AF51" s="403"/>
      <c r="AJ51" s="120"/>
    </row>
    <row r="52" spans="4:36" x14ac:dyDescent="0.25">
      <c r="D52" s="120"/>
      <c r="H52" s="120"/>
      <c r="L52" s="120"/>
      <c r="P52" s="120"/>
      <c r="T52" s="120"/>
      <c r="X52" s="120"/>
      <c r="AB52" s="120"/>
      <c r="AF52" s="403"/>
      <c r="AJ52" s="120"/>
    </row>
    <row r="53" spans="4:36" x14ac:dyDescent="0.25">
      <c r="D53" s="120"/>
      <c r="H53" s="120"/>
      <c r="L53" s="120"/>
      <c r="P53" s="120"/>
      <c r="T53" s="120"/>
      <c r="X53" s="120"/>
      <c r="AB53" s="120"/>
      <c r="AF53" s="403"/>
      <c r="AJ53" s="120"/>
    </row>
    <row r="54" spans="4:36" x14ac:dyDescent="0.25">
      <c r="D54" s="120"/>
      <c r="H54" s="120"/>
      <c r="L54" s="120"/>
      <c r="P54" s="120"/>
      <c r="T54" s="120"/>
      <c r="X54" s="120"/>
      <c r="AB54" s="120"/>
      <c r="AF54" s="403"/>
      <c r="AJ54" s="120"/>
    </row>
    <row r="55" spans="4:36" x14ac:dyDescent="0.25">
      <c r="D55" s="120"/>
      <c r="H55" s="120"/>
      <c r="L55" s="120"/>
      <c r="P55" s="120"/>
      <c r="T55" s="120"/>
      <c r="X55" s="120"/>
      <c r="AB55" s="120"/>
      <c r="AF55" s="403"/>
      <c r="AJ55" s="120"/>
    </row>
    <row r="56" spans="4:36" x14ac:dyDescent="0.25">
      <c r="D56" s="120"/>
      <c r="H56" s="120"/>
      <c r="L56" s="120"/>
      <c r="P56" s="120"/>
      <c r="T56" s="120"/>
      <c r="X56" s="120"/>
      <c r="AB56" s="120"/>
      <c r="AF56" s="403"/>
      <c r="AJ56" s="120"/>
    </row>
    <row r="57" spans="4:36" x14ac:dyDescent="0.25">
      <c r="D57" s="120"/>
      <c r="H57" s="120"/>
      <c r="L57" s="120"/>
      <c r="P57" s="120"/>
      <c r="T57" s="120"/>
      <c r="X57" s="120"/>
      <c r="AB57" s="120"/>
      <c r="AF57" s="403"/>
      <c r="AJ57" s="120"/>
    </row>
    <row r="58" spans="4:36" x14ac:dyDescent="0.25">
      <c r="D58" s="120"/>
      <c r="H58" s="120"/>
      <c r="L58" s="120"/>
      <c r="P58" s="120"/>
      <c r="T58" s="120"/>
      <c r="X58" s="120"/>
      <c r="AB58" s="120"/>
      <c r="AF58" s="403"/>
      <c r="AJ58" s="120"/>
    </row>
    <row r="59" spans="4:36" x14ac:dyDescent="0.25">
      <c r="D59" s="120"/>
      <c r="H59" s="120"/>
      <c r="L59" s="120"/>
      <c r="P59" s="120"/>
      <c r="T59" s="120"/>
      <c r="X59" s="120"/>
      <c r="AB59" s="120"/>
      <c r="AF59" s="403"/>
      <c r="AJ59" s="120"/>
    </row>
    <row r="60" spans="4:36" x14ac:dyDescent="0.25">
      <c r="D60" s="120"/>
      <c r="H60" s="120"/>
      <c r="L60" s="120"/>
      <c r="P60" s="120"/>
      <c r="T60" s="120"/>
      <c r="X60" s="120"/>
      <c r="AB60" s="120"/>
      <c r="AF60" s="403"/>
      <c r="AJ60" s="120"/>
    </row>
    <row r="61" spans="4:36" x14ac:dyDescent="0.25">
      <c r="D61" s="120"/>
      <c r="H61" s="120"/>
      <c r="L61" s="120"/>
      <c r="P61" s="120"/>
      <c r="T61" s="120"/>
      <c r="X61" s="120"/>
      <c r="AB61" s="120"/>
      <c r="AF61" s="403"/>
      <c r="AJ61" s="120"/>
    </row>
    <row r="62" spans="4:36" x14ac:dyDescent="0.25">
      <c r="D62" s="120"/>
      <c r="H62" s="120"/>
      <c r="L62" s="120"/>
      <c r="P62" s="120"/>
      <c r="T62" s="120"/>
      <c r="X62" s="120"/>
      <c r="AB62" s="120"/>
      <c r="AF62" s="403"/>
      <c r="AJ62" s="120"/>
    </row>
    <row r="63" spans="4:36" x14ac:dyDescent="0.25">
      <c r="D63" s="120"/>
      <c r="H63" s="120"/>
      <c r="L63" s="120"/>
      <c r="P63" s="120"/>
      <c r="T63" s="120"/>
      <c r="X63" s="120"/>
      <c r="AB63" s="120"/>
      <c r="AF63" s="403"/>
      <c r="AJ63" s="120"/>
    </row>
    <row r="64" spans="4:36" x14ac:dyDescent="0.25">
      <c r="D64" s="120"/>
      <c r="H64" s="120"/>
      <c r="L64" s="120"/>
      <c r="P64" s="120"/>
      <c r="T64" s="120"/>
      <c r="X64" s="120"/>
      <c r="AB64" s="120"/>
      <c r="AF64" s="403"/>
      <c r="AJ64" s="120"/>
    </row>
    <row r="65" spans="4:36" x14ac:dyDescent="0.25">
      <c r="D65" s="120"/>
      <c r="H65" s="120"/>
      <c r="L65" s="120"/>
      <c r="P65" s="120"/>
      <c r="T65" s="120"/>
      <c r="X65" s="120"/>
      <c r="AB65" s="120"/>
      <c r="AF65" s="403"/>
      <c r="AJ65" s="120"/>
    </row>
    <row r="66" spans="4:36" x14ac:dyDescent="0.25">
      <c r="D66" s="120"/>
      <c r="H66" s="120"/>
      <c r="L66" s="120"/>
      <c r="P66" s="120"/>
      <c r="T66" s="120"/>
      <c r="X66" s="120"/>
      <c r="AB66" s="120"/>
      <c r="AF66" s="403"/>
      <c r="AJ66" s="120"/>
    </row>
    <row r="67" spans="4:36" x14ac:dyDescent="0.25">
      <c r="D67" s="120"/>
      <c r="H67" s="120"/>
      <c r="L67" s="120"/>
      <c r="P67" s="120"/>
      <c r="T67" s="120"/>
      <c r="X67" s="120"/>
      <c r="AB67" s="120"/>
      <c r="AF67" s="403"/>
      <c r="AJ67" s="120"/>
    </row>
    <row r="68" spans="4:36" x14ac:dyDescent="0.25">
      <c r="D68" s="120"/>
      <c r="H68" s="120"/>
      <c r="L68" s="120"/>
      <c r="P68" s="120"/>
      <c r="T68" s="120"/>
      <c r="X68" s="120"/>
      <c r="AB68" s="120"/>
      <c r="AF68" s="403"/>
      <c r="AJ68" s="120"/>
    </row>
    <row r="69" spans="4:36" x14ac:dyDescent="0.25">
      <c r="D69" s="120"/>
      <c r="H69" s="120"/>
      <c r="L69" s="120"/>
      <c r="P69" s="120"/>
      <c r="T69" s="120"/>
      <c r="X69" s="120"/>
      <c r="AB69" s="120"/>
      <c r="AF69" s="403"/>
      <c r="AJ69" s="120"/>
    </row>
    <row r="70" spans="4:36" x14ac:dyDescent="0.25">
      <c r="D70" s="120"/>
      <c r="H70" s="120"/>
      <c r="L70" s="120"/>
      <c r="P70" s="120"/>
      <c r="T70" s="120"/>
      <c r="X70" s="120"/>
      <c r="AB70" s="120"/>
      <c r="AF70" s="403"/>
      <c r="AJ70" s="120"/>
    </row>
    <row r="71" spans="4:36" x14ac:dyDescent="0.25">
      <c r="D71" s="120"/>
      <c r="H71" s="120"/>
      <c r="L71" s="120"/>
      <c r="P71" s="120"/>
      <c r="T71" s="120"/>
      <c r="X71" s="120"/>
      <c r="AB71" s="120"/>
      <c r="AF71" s="403"/>
      <c r="AJ71" s="120"/>
    </row>
    <row r="72" spans="4:36" x14ac:dyDescent="0.25">
      <c r="D72" s="120"/>
      <c r="H72" s="120"/>
      <c r="L72" s="120"/>
      <c r="P72" s="120"/>
      <c r="T72" s="120"/>
      <c r="X72" s="120"/>
      <c r="AB72" s="120"/>
      <c r="AF72" s="403"/>
      <c r="AJ72" s="120"/>
    </row>
    <row r="73" spans="4:36" x14ac:dyDescent="0.25">
      <c r="D73" s="120"/>
      <c r="H73" s="120"/>
      <c r="L73" s="120"/>
      <c r="P73" s="120"/>
      <c r="T73" s="120"/>
      <c r="X73" s="120"/>
      <c r="AB73" s="120"/>
      <c r="AF73" s="403"/>
      <c r="AJ73" s="120"/>
    </row>
    <row r="74" spans="4:36" x14ac:dyDescent="0.25">
      <c r="D74" s="120"/>
      <c r="H74" s="120"/>
      <c r="L74" s="120"/>
      <c r="P74" s="120"/>
      <c r="T74" s="120"/>
      <c r="X74" s="120"/>
      <c r="AB74" s="120"/>
      <c r="AF74" s="403"/>
      <c r="AJ74" s="120"/>
    </row>
    <row r="75" spans="4:36" x14ac:dyDescent="0.25">
      <c r="D75" s="120"/>
      <c r="H75" s="120"/>
      <c r="L75" s="120"/>
      <c r="P75" s="120"/>
      <c r="T75" s="120"/>
      <c r="X75" s="120"/>
      <c r="AB75" s="120"/>
      <c r="AF75" s="403"/>
      <c r="AJ75" s="120"/>
    </row>
    <row r="76" spans="4:36" x14ac:dyDescent="0.25">
      <c r="D76" s="120"/>
      <c r="H76" s="120"/>
      <c r="L76" s="120"/>
      <c r="P76" s="120"/>
      <c r="T76" s="120"/>
      <c r="X76" s="120"/>
      <c r="AB76" s="120"/>
      <c r="AF76" s="403"/>
      <c r="AJ76" s="120"/>
    </row>
    <row r="77" spans="4:36" x14ac:dyDescent="0.25">
      <c r="D77" s="120"/>
      <c r="H77" s="120"/>
      <c r="L77" s="120"/>
      <c r="P77" s="120"/>
      <c r="T77" s="120"/>
      <c r="X77" s="120"/>
      <c r="AB77" s="120"/>
      <c r="AF77" s="403"/>
      <c r="AJ77" s="120"/>
    </row>
    <row r="78" spans="4:36" x14ac:dyDescent="0.25">
      <c r="D78" s="120"/>
      <c r="H78" s="120"/>
      <c r="L78" s="120"/>
      <c r="P78" s="120"/>
      <c r="T78" s="120"/>
      <c r="X78" s="120"/>
      <c r="AB78" s="120"/>
      <c r="AF78" s="403"/>
      <c r="AJ78" s="120"/>
    </row>
    <row r="79" spans="4:36" x14ac:dyDescent="0.25">
      <c r="D79" s="120"/>
      <c r="H79" s="120"/>
      <c r="L79" s="120"/>
      <c r="P79" s="120"/>
      <c r="T79" s="120"/>
      <c r="X79" s="120"/>
      <c r="AB79" s="120"/>
      <c r="AF79" s="403"/>
      <c r="AJ79" s="120"/>
    </row>
    <row r="80" spans="4:36" x14ac:dyDescent="0.25">
      <c r="D80" s="120"/>
      <c r="H80" s="120"/>
      <c r="L80" s="120"/>
      <c r="P80" s="120"/>
      <c r="T80" s="120"/>
      <c r="X80" s="120"/>
      <c r="AB80" s="120"/>
      <c r="AF80" s="403"/>
      <c r="AJ80" s="120"/>
    </row>
    <row r="81" spans="4:36" x14ac:dyDescent="0.25">
      <c r="D81" s="120"/>
      <c r="H81" s="120"/>
      <c r="L81" s="120"/>
      <c r="P81" s="120"/>
      <c r="T81" s="120"/>
      <c r="X81" s="120"/>
      <c r="AB81" s="120"/>
      <c r="AF81" s="403"/>
      <c r="AJ81" s="120"/>
    </row>
    <row r="82" spans="4:36" x14ac:dyDescent="0.25">
      <c r="D82" s="120"/>
      <c r="H82" s="120"/>
      <c r="L82" s="120"/>
      <c r="P82" s="120"/>
      <c r="T82" s="120"/>
      <c r="X82" s="120"/>
      <c r="AB82" s="120"/>
      <c r="AF82" s="403"/>
      <c r="AJ82" s="120"/>
    </row>
    <row r="83" spans="4:36" x14ac:dyDescent="0.25">
      <c r="D83" s="120"/>
      <c r="H83" s="120"/>
      <c r="L83" s="120"/>
      <c r="P83" s="120"/>
      <c r="T83" s="120"/>
      <c r="X83" s="120"/>
      <c r="AB83" s="120"/>
      <c r="AF83" s="403"/>
      <c r="AJ83" s="120"/>
    </row>
    <row r="84" spans="4:36" x14ac:dyDescent="0.25">
      <c r="D84" s="120"/>
      <c r="H84" s="120"/>
      <c r="L84" s="120"/>
      <c r="P84" s="120"/>
      <c r="T84" s="120"/>
      <c r="X84" s="120"/>
      <c r="AB84" s="120"/>
      <c r="AF84" s="403"/>
      <c r="AJ84" s="120"/>
    </row>
    <row r="85" spans="4:36" x14ac:dyDescent="0.25">
      <c r="D85" s="120"/>
      <c r="H85" s="120"/>
      <c r="L85" s="120"/>
      <c r="P85" s="120"/>
      <c r="T85" s="120"/>
      <c r="X85" s="120"/>
      <c r="AB85" s="120"/>
      <c r="AF85" s="403"/>
      <c r="AJ85" s="120"/>
    </row>
    <row r="86" spans="4:36" x14ac:dyDescent="0.25">
      <c r="D86" s="120"/>
      <c r="H86" s="120"/>
      <c r="L86" s="120"/>
      <c r="P86" s="120"/>
      <c r="T86" s="120"/>
      <c r="X86" s="120"/>
      <c r="AB86" s="120"/>
      <c r="AF86" s="403"/>
      <c r="AJ86" s="120"/>
    </row>
    <row r="87" spans="4:36" x14ac:dyDescent="0.25">
      <c r="D87" s="120"/>
      <c r="H87" s="120"/>
      <c r="L87" s="120"/>
      <c r="P87" s="120"/>
      <c r="T87" s="120"/>
      <c r="X87" s="120"/>
      <c r="AB87" s="120"/>
      <c r="AF87" s="403"/>
      <c r="AJ87" s="120"/>
    </row>
    <row r="88" spans="4:36" x14ac:dyDescent="0.25">
      <c r="D88" s="120"/>
      <c r="H88" s="120"/>
      <c r="L88" s="120"/>
      <c r="P88" s="120"/>
      <c r="T88" s="120"/>
      <c r="X88" s="120"/>
      <c r="AB88" s="120"/>
      <c r="AF88" s="403"/>
      <c r="AJ88" s="120"/>
    </row>
    <row r="89" spans="4:36" x14ac:dyDescent="0.25">
      <c r="D89" s="120"/>
      <c r="H89" s="120"/>
      <c r="L89" s="120"/>
      <c r="P89" s="120"/>
      <c r="T89" s="120"/>
      <c r="X89" s="120"/>
      <c r="AB89" s="120"/>
      <c r="AF89" s="403"/>
      <c r="AJ89" s="120"/>
    </row>
    <row r="90" spans="4:36" x14ac:dyDescent="0.25">
      <c r="D90" s="120"/>
      <c r="H90" s="120"/>
      <c r="L90" s="120"/>
      <c r="P90" s="120"/>
      <c r="T90" s="120"/>
      <c r="X90" s="120"/>
      <c r="AB90" s="120"/>
      <c r="AF90" s="403"/>
      <c r="AJ90" s="120"/>
    </row>
    <row r="91" spans="4:36" x14ac:dyDescent="0.25">
      <c r="D91" s="120"/>
      <c r="H91" s="120"/>
      <c r="L91" s="120"/>
      <c r="P91" s="120"/>
      <c r="T91" s="120"/>
      <c r="X91" s="120"/>
      <c r="AB91" s="120"/>
      <c r="AF91" s="403"/>
      <c r="AJ91" s="120"/>
    </row>
    <row r="92" spans="4:36" x14ac:dyDescent="0.25">
      <c r="D92" s="120"/>
      <c r="H92" s="120"/>
      <c r="L92" s="120"/>
      <c r="P92" s="120"/>
      <c r="T92" s="120"/>
      <c r="X92" s="120"/>
      <c r="AB92" s="120"/>
      <c r="AF92" s="403"/>
      <c r="AJ92" s="120"/>
    </row>
    <row r="93" spans="4:36" x14ac:dyDescent="0.25">
      <c r="D93" s="120"/>
      <c r="H93" s="120"/>
      <c r="L93" s="120"/>
      <c r="P93" s="120"/>
      <c r="T93" s="120"/>
      <c r="X93" s="120"/>
      <c r="AB93" s="120"/>
      <c r="AF93" s="403"/>
      <c r="AJ93" s="120"/>
    </row>
    <row r="94" spans="4:36" x14ac:dyDescent="0.25">
      <c r="D94" s="120"/>
      <c r="H94" s="120"/>
      <c r="L94" s="120"/>
      <c r="P94" s="120"/>
      <c r="T94" s="120"/>
      <c r="X94" s="120"/>
      <c r="AB94" s="120"/>
      <c r="AF94" s="403"/>
      <c r="AJ94" s="120"/>
    </row>
    <row r="95" spans="4:36" x14ac:dyDescent="0.25">
      <c r="D95" s="120"/>
      <c r="H95" s="120"/>
      <c r="L95" s="120"/>
      <c r="P95" s="120"/>
      <c r="T95" s="120"/>
      <c r="X95" s="120"/>
      <c r="AB95" s="120"/>
      <c r="AF95" s="403"/>
      <c r="AJ95" s="120"/>
    </row>
    <row r="96" spans="4:36" x14ac:dyDescent="0.25">
      <c r="D96" s="120"/>
      <c r="H96" s="120"/>
      <c r="L96" s="120"/>
      <c r="P96" s="120"/>
      <c r="T96" s="120"/>
      <c r="X96" s="120"/>
      <c r="AB96" s="120"/>
      <c r="AF96" s="403"/>
      <c r="AJ96" s="120"/>
    </row>
    <row r="97" spans="4:36" x14ac:dyDescent="0.25">
      <c r="D97" s="120"/>
      <c r="H97" s="120"/>
      <c r="L97" s="120"/>
      <c r="P97" s="120"/>
      <c r="T97" s="120"/>
      <c r="X97" s="120"/>
      <c r="AB97" s="120"/>
      <c r="AF97" s="403"/>
      <c r="AJ97" s="120"/>
    </row>
    <row r="98" spans="4:36" x14ac:dyDescent="0.25">
      <c r="D98" s="120"/>
      <c r="H98" s="120"/>
      <c r="L98" s="120"/>
      <c r="P98" s="120"/>
      <c r="T98" s="120"/>
      <c r="X98" s="120"/>
      <c r="AB98" s="120"/>
      <c r="AF98" s="403"/>
      <c r="AJ98" s="120"/>
    </row>
    <row r="99" spans="4:36" x14ac:dyDescent="0.25">
      <c r="D99" s="120"/>
      <c r="H99" s="120"/>
      <c r="L99" s="120"/>
      <c r="P99" s="120"/>
      <c r="T99" s="120"/>
      <c r="X99" s="120"/>
      <c r="AB99" s="120"/>
      <c r="AF99" s="403"/>
      <c r="AJ99" s="120"/>
    </row>
    <row r="100" spans="4:36" x14ac:dyDescent="0.25">
      <c r="D100" s="120"/>
      <c r="H100" s="120"/>
      <c r="L100" s="120"/>
      <c r="P100" s="120"/>
      <c r="T100" s="120"/>
      <c r="X100" s="120"/>
      <c r="AB100" s="120"/>
      <c r="AF100" s="403"/>
      <c r="AJ100" s="120"/>
    </row>
    <row r="101" spans="4:36" x14ac:dyDescent="0.25">
      <c r="D101" s="120"/>
      <c r="H101" s="120"/>
      <c r="L101" s="120"/>
      <c r="P101" s="120"/>
      <c r="T101" s="120"/>
      <c r="X101" s="120"/>
      <c r="AB101" s="120"/>
      <c r="AF101" s="403"/>
      <c r="AJ101" s="120"/>
    </row>
    <row r="102" spans="4:36" x14ac:dyDescent="0.25">
      <c r="D102" s="120"/>
      <c r="H102" s="120"/>
      <c r="L102" s="120"/>
      <c r="P102" s="120"/>
      <c r="T102" s="120"/>
      <c r="X102" s="120"/>
      <c r="AB102" s="120"/>
      <c r="AF102" s="403"/>
      <c r="AJ102" s="120"/>
    </row>
    <row r="103" spans="4:36" x14ac:dyDescent="0.25">
      <c r="D103" s="120"/>
      <c r="H103" s="120"/>
      <c r="L103" s="120"/>
      <c r="P103" s="120"/>
      <c r="T103" s="120"/>
      <c r="X103" s="120"/>
      <c r="AB103" s="120"/>
      <c r="AF103" s="403"/>
      <c r="AJ103" s="120"/>
    </row>
    <row r="104" spans="4:36" x14ac:dyDescent="0.25">
      <c r="D104" s="120"/>
      <c r="H104" s="120"/>
      <c r="L104" s="120"/>
      <c r="P104" s="120"/>
      <c r="T104" s="120"/>
      <c r="X104" s="120"/>
      <c r="AB104" s="120"/>
      <c r="AF104" s="403"/>
      <c r="AJ104" s="120"/>
    </row>
    <row r="105" spans="4:36" x14ac:dyDescent="0.25">
      <c r="D105" s="120"/>
      <c r="H105" s="120"/>
      <c r="L105" s="120"/>
      <c r="P105" s="120"/>
      <c r="T105" s="120"/>
      <c r="X105" s="120"/>
      <c r="AB105" s="120"/>
      <c r="AF105" s="403"/>
      <c r="AJ105" s="120"/>
    </row>
    <row r="106" spans="4:36" x14ac:dyDescent="0.25">
      <c r="D106" s="120"/>
      <c r="H106" s="120"/>
      <c r="L106" s="120"/>
      <c r="P106" s="120"/>
      <c r="T106" s="120"/>
      <c r="X106" s="120"/>
      <c r="AB106" s="120"/>
      <c r="AF106" s="403"/>
      <c r="AJ106" s="120"/>
    </row>
    <row r="107" spans="4:36" x14ac:dyDescent="0.25">
      <c r="D107" s="120"/>
      <c r="H107" s="120"/>
      <c r="L107" s="120"/>
      <c r="P107" s="120"/>
      <c r="T107" s="120"/>
      <c r="X107" s="120"/>
      <c r="AB107" s="120"/>
      <c r="AF107" s="403"/>
      <c r="AJ107" s="120"/>
    </row>
    <row r="108" spans="4:36" x14ac:dyDescent="0.25">
      <c r="D108" s="120"/>
      <c r="H108" s="120"/>
      <c r="L108" s="120"/>
      <c r="P108" s="120"/>
      <c r="T108" s="120"/>
      <c r="X108" s="120"/>
      <c r="AB108" s="120"/>
      <c r="AF108" s="403"/>
      <c r="AJ108" s="120"/>
    </row>
    <row r="109" spans="4:36" x14ac:dyDescent="0.25">
      <c r="D109" s="120"/>
      <c r="H109" s="120"/>
      <c r="L109" s="120"/>
      <c r="P109" s="120"/>
      <c r="T109" s="120"/>
      <c r="X109" s="120"/>
      <c r="AB109" s="120"/>
      <c r="AF109" s="403"/>
      <c r="AJ109" s="120"/>
    </row>
    <row r="110" spans="4:36" x14ac:dyDescent="0.25">
      <c r="D110" s="120"/>
      <c r="H110" s="120"/>
      <c r="L110" s="120"/>
      <c r="P110" s="120"/>
      <c r="T110" s="120"/>
      <c r="X110" s="120"/>
      <c r="AB110" s="120"/>
      <c r="AF110" s="403"/>
      <c r="AJ110" s="120"/>
    </row>
    <row r="111" spans="4:36" x14ac:dyDescent="0.25">
      <c r="D111" s="120"/>
      <c r="H111" s="120"/>
      <c r="L111" s="120"/>
      <c r="P111" s="120"/>
      <c r="T111" s="120"/>
      <c r="X111" s="120"/>
      <c r="AB111" s="120"/>
      <c r="AF111" s="403"/>
      <c r="AJ111" s="120"/>
    </row>
    <row r="112" spans="4:36" x14ac:dyDescent="0.25">
      <c r="D112" s="120"/>
      <c r="H112" s="120"/>
      <c r="L112" s="120"/>
      <c r="P112" s="120"/>
      <c r="T112" s="120"/>
      <c r="X112" s="120"/>
      <c r="AB112" s="120"/>
      <c r="AF112" s="403"/>
      <c r="AJ112" s="120"/>
    </row>
    <row r="113" spans="4:36" x14ac:dyDescent="0.25">
      <c r="D113" s="120"/>
      <c r="H113" s="120"/>
      <c r="L113" s="120"/>
      <c r="P113" s="120"/>
      <c r="T113" s="120"/>
      <c r="X113" s="120"/>
      <c r="AB113" s="120"/>
      <c r="AF113" s="403"/>
      <c r="AJ113" s="120"/>
    </row>
    <row r="114" spans="4:36" x14ac:dyDescent="0.25">
      <c r="D114" s="120"/>
      <c r="H114" s="120"/>
      <c r="L114" s="120"/>
      <c r="P114" s="120"/>
      <c r="T114" s="120"/>
      <c r="X114" s="120"/>
      <c r="AB114" s="120"/>
      <c r="AF114" s="403"/>
      <c r="AJ114" s="120"/>
    </row>
    <row r="115" spans="4:36" x14ac:dyDescent="0.25">
      <c r="D115" s="120"/>
      <c r="H115" s="120"/>
      <c r="L115" s="120"/>
      <c r="P115" s="120"/>
      <c r="T115" s="120"/>
      <c r="X115" s="120"/>
      <c r="AB115" s="120"/>
      <c r="AF115" s="403"/>
      <c r="AJ115" s="120"/>
    </row>
    <row r="116" spans="4:36" x14ac:dyDescent="0.25">
      <c r="D116" s="120"/>
      <c r="H116" s="120"/>
      <c r="L116" s="120"/>
      <c r="P116" s="120"/>
      <c r="T116" s="120"/>
      <c r="X116" s="120"/>
      <c r="AB116" s="120"/>
      <c r="AF116" s="403"/>
      <c r="AJ116" s="120"/>
    </row>
    <row r="117" spans="4:36" x14ac:dyDescent="0.25">
      <c r="D117" s="120"/>
      <c r="H117" s="120"/>
      <c r="L117" s="120"/>
      <c r="P117" s="120"/>
      <c r="T117" s="120"/>
      <c r="X117" s="120"/>
      <c r="AB117" s="120"/>
      <c r="AF117" s="403"/>
      <c r="AJ117" s="120"/>
    </row>
    <row r="118" spans="4:36" x14ac:dyDescent="0.25">
      <c r="D118" s="120"/>
      <c r="H118" s="120"/>
      <c r="L118" s="120"/>
      <c r="P118" s="120"/>
      <c r="T118" s="120"/>
      <c r="X118" s="120"/>
      <c r="AB118" s="120"/>
      <c r="AF118" s="403"/>
      <c r="AJ118" s="120"/>
    </row>
    <row r="119" spans="4:36" x14ac:dyDescent="0.25">
      <c r="D119" s="120"/>
      <c r="H119" s="120"/>
      <c r="L119" s="120"/>
      <c r="P119" s="120"/>
      <c r="T119" s="120"/>
      <c r="X119" s="120"/>
      <c r="AB119" s="120"/>
      <c r="AF119" s="403"/>
      <c r="AJ119" s="120"/>
    </row>
    <row r="120" spans="4:36" x14ac:dyDescent="0.25">
      <c r="D120" s="120"/>
      <c r="H120" s="120"/>
      <c r="L120" s="120"/>
      <c r="P120" s="120"/>
      <c r="T120" s="120"/>
      <c r="X120" s="120"/>
      <c r="AB120" s="120"/>
      <c r="AF120" s="403"/>
      <c r="AJ120" s="120"/>
    </row>
    <row r="121" spans="4:36" x14ac:dyDescent="0.25">
      <c r="D121" s="120"/>
      <c r="H121" s="120"/>
      <c r="L121" s="120"/>
      <c r="P121" s="120"/>
      <c r="T121" s="120"/>
      <c r="X121" s="120"/>
      <c r="AB121" s="120"/>
      <c r="AF121" s="403"/>
      <c r="AJ121" s="120"/>
    </row>
    <row r="122" spans="4:36" x14ac:dyDescent="0.25">
      <c r="D122" s="120"/>
      <c r="H122" s="120"/>
      <c r="L122" s="120"/>
      <c r="P122" s="120"/>
      <c r="T122" s="120"/>
      <c r="X122" s="120"/>
      <c r="AB122" s="120"/>
      <c r="AF122" s="403"/>
      <c r="AJ122" s="120"/>
    </row>
    <row r="123" spans="4:36" x14ac:dyDescent="0.25">
      <c r="D123" s="120"/>
      <c r="H123" s="120"/>
      <c r="L123" s="120"/>
      <c r="P123" s="120"/>
      <c r="T123" s="120"/>
      <c r="X123" s="120"/>
      <c r="AB123" s="120"/>
      <c r="AF123" s="403"/>
      <c r="AJ123" s="120"/>
    </row>
    <row r="124" spans="4:36" x14ac:dyDescent="0.25">
      <c r="D124" s="120"/>
      <c r="H124" s="120"/>
      <c r="L124" s="120"/>
      <c r="P124" s="120"/>
      <c r="T124" s="120"/>
      <c r="X124" s="120"/>
      <c r="AB124" s="120"/>
      <c r="AF124" s="403"/>
      <c r="AJ124" s="120"/>
    </row>
    <row r="125" spans="4:36" x14ac:dyDescent="0.25">
      <c r="D125" s="403" t="s">
        <v>1511</v>
      </c>
      <c r="E125" s="211">
        <v>30.35</v>
      </c>
      <c r="F125" s="211">
        <v>25</v>
      </c>
      <c r="G125" s="397"/>
      <c r="H125" s="403"/>
      <c r="I125" s="394"/>
      <c r="J125" s="394"/>
      <c r="L125" s="120"/>
      <c r="P125" s="120"/>
      <c r="T125" s="120"/>
      <c r="X125" s="120"/>
      <c r="AB125" s="120"/>
      <c r="AF125" s="403"/>
      <c r="AJ125" s="120"/>
    </row>
    <row r="126" spans="4:36" x14ac:dyDescent="0.25">
      <c r="D126" s="120"/>
      <c r="H126" s="120"/>
      <c r="L126" s="120"/>
      <c r="P126" s="120"/>
      <c r="T126" s="120"/>
      <c r="X126" s="120"/>
      <c r="AB126" s="120"/>
      <c r="AF126" s="403"/>
      <c r="AJ126" s="120"/>
    </row>
    <row r="127" spans="4:36" x14ac:dyDescent="0.25">
      <c r="D127" s="120"/>
      <c r="H127" s="120"/>
      <c r="L127" s="120"/>
      <c r="P127" s="120"/>
      <c r="T127" s="120"/>
      <c r="X127" s="120"/>
      <c r="AB127" s="120"/>
      <c r="AF127" s="403"/>
      <c r="AJ127" s="120"/>
    </row>
    <row r="128" spans="4:36" x14ac:dyDescent="0.25">
      <c r="D128" s="120"/>
      <c r="H128" s="120"/>
      <c r="L128" s="120"/>
      <c r="P128" s="120"/>
      <c r="T128" s="120"/>
      <c r="X128" s="120"/>
      <c r="AB128" s="120"/>
      <c r="AF128" s="403"/>
      <c r="AJ128" s="120"/>
    </row>
    <row r="129" spans="4:36" x14ac:dyDescent="0.25">
      <c r="D129" s="120"/>
      <c r="H129" s="120"/>
      <c r="L129" s="120"/>
      <c r="P129" s="120"/>
      <c r="T129" s="120"/>
      <c r="X129" s="120"/>
      <c r="AB129" s="120"/>
      <c r="AF129" s="403"/>
      <c r="AJ129" s="120"/>
    </row>
    <row r="130" spans="4:36" x14ac:dyDescent="0.25">
      <c r="D130" s="120"/>
      <c r="H130" s="120"/>
      <c r="L130" s="120"/>
      <c r="P130" s="120"/>
      <c r="T130" s="120"/>
      <c r="X130" s="120"/>
      <c r="AB130" s="120"/>
      <c r="AF130" s="403"/>
      <c r="AJ130" s="120"/>
    </row>
    <row r="131" spans="4:36" x14ac:dyDescent="0.25">
      <c r="D131" s="120"/>
      <c r="H131" s="120"/>
      <c r="L131" s="120"/>
      <c r="P131" s="120"/>
      <c r="T131" s="120"/>
      <c r="X131" s="120"/>
      <c r="AB131" s="120"/>
      <c r="AF131" s="403"/>
      <c r="AJ131" s="120"/>
    </row>
    <row r="132" spans="4:36" x14ac:dyDescent="0.25">
      <c r="D132" s="120"/>
      <c r="H132" s="120"/>
      <c r="L132" s="120"/>
      <c r="P132" s="120"/>
      <c r="T132" s="120"/>
      <c r="X132" s="120"/>
      <c r="AB132" s="120"/>
      <c r="AF132" s="403"/>
      <c r="AJ132" s="120"/>
    </row>
    <row r="133" spans="4:36" x14ac:dyDescent="0.25">
      <c r="D133" s="120"/>
      <c r="H133" s="120"/>
      <c r="L133" s="120"/>
      <c r="P133" s="120"/>
      <c r="T133" s="120"/>
      <c r="X133" s="120"/>
      <c r="AB133" s="120"/>
      <c r="AF133" s="403"/>
      <c r="AJ133" s="120"/>
    </row>
    <row r="134" spans="4:36" x14ac:dyDescent="0.25">
      <c r="D134" s="120"/>
      <c r="H134" s="120"/>
      <c r="L134" s="120"/>
      <c r="P134" s="120"/>
      <c r="T134" s="120"/>
      <c r="X134" s="120"/>
      <c r="AB134" s="120"/>
      <c r="AF134" s="403"/>
      <c r="AJ134" s="120"/>
    </row>
    <row r="135" spans="4:36" x14ac:dyDescent="0.25">
      <c r="D135" s="120"/>
      <c r="H135" s="120"/>
      <c r="L135" s="120"/>
      <c r="P135" s="120"/>
      <c r="T135" s="120"/>
      <c r="X135" s="120"/>
      <c r="AB135" s="120"/>
      <c r="AF135" s="403"/>
      <c r="AJ135" s="120"/>
    </row>
    <row r="136" spans="4:36" x14ac:dyDescent="0.25">
      <c r="D136" s="120"/>
      <c r="H136" s="120"/>
      <c r="L136" s="120"/>
      <c r="P136" s="120"/>
      <c r="T136" s="120"/>
      <c r="X136" s="120"/>
      <c r="AB136" s="120"/>
      <c r="AF136" s="403"/>
      <c r="AJ136" s="120"/>
    </row>
    <row r="137" spans="4:36" x14ac:dyDescent="0.25">
      <c r="D137" s="120"/>
      <c r="H137" s="120"/>
      <c r="L137" s="120"/>
      <c r="P137" s="120"/>
      <c r="T137" s="120"/>
      <c r="X137" s="120"/>
      <c r="AB137" s="120"/>
      <c r="AF137" s="403"/>
      <c r="AJ137" s="120"/>
    </row>
    <row r="138" spans="4:36" x14ac:dyDescent="0.25">
      <c r="D138" s="120"/>
      <c r="H138" s="120"/>
      <c r="L138" s="120"/>
      <c r="P138" s="120"/>
      <c r="T138" s="120"/>
      <c r="X138" s="120"/>
      <c r="AB138" s="120"/>
      <c r="AF138" s="403"/>
      <c r="AJ138" s="120"/>
    </row>
    <row r="139" spans="4:36" x14ac:dyDescent="0.25">
      <c r="D139" s="120"/>
      <c r="H139" s="120"/>
      <c r="L139" s="120"/>
      <c r="P139" s="120"/>
      <c r="T139" s="120"/>
      <c r="X139" s="120"/>
      <c r="AB139" s="120"/>
      <c r="AF139" s="403"/>
      <c r="AJ139" s="120"/>
    </row>
    <row r="140" spans="4:36" x14ac:dyDescent="0.25">
      <c r="D140" s="120"/>
      <c r="H140" s="120"/>
      <c r="L140" s="120"/>
      <c r="P140" s="120"/>
      <c r="T140" s="120"/>
      <c r="X140" s="120"/>
      <c r="AB140" s="120"/>
      <c r="AF140" s="403"/>
      <c r="AJ140" s="120"/>
    </row>
    <row r="141" spans="4:36" x14ac:dyDescent="0.25">
      <c r="D141" s="120"/>
      <c r="H141" s="120"/>
      <c r="L141" s="120"/>
      <c r="P141" s="120"/>
      <c r="T141" s="120"/>
      <c r="X141" s="120"/>
      <c r="AB141" s="120"/>
      <c r="AF141" s="403"/>
      <c r="AJ141" s="120"/>
    </row>
    <row r="142" spans="4:36" x14ac:dyDescent="0.25">
      <c r="D142" s="120"/>
      <c r="H142" s="120"/>
      <c r="L142" s="120"/>
      <c r="P142" s="120"/>
      <c r="T142" s="120"/>
      <c r="X142" s="120"/>
      <c r="AB142" s="120"/>
      <c r="AF142" s="403"/>
      <c r="AJ142" s="120"/>
    </row>
    <row r="143" spans="4:36" x14ac:dyDescent="0.25">
      <c r="D143" s="120"/>
      <c r="H143" s="120"/>
      <c r="L143" s="120"/>
      <c r="P143" s="120"/>
      <c r="T143" s="120"/>
      <c r="X143" s="120"/>
      <c r="AB143" s="120"/>
      <c r="AF143" s="403"/>
      <c r="AJ143" s="120"/>
    </row>
    <row r="144" spans="4:36" x14ac:dyDescent="0.25">
      <c r="D144" s="120"/>
      <c r="H144" s="120"/>
      <c r="L144" s="120"/>
      <c r="P144" s="120"/>
      <c r="T144" s="120"/>
      <c r="X144" s="120"/>
      <c r="AB144" s="120"/>
      <c r="AF144" s="403"/>
      <c r="AJ144" s="120"/>
    </row>
    <row r="145" spans="4:36" x14ac:dyDescent="0.25">
      <c r="D145" s="120"/>
      <c r="H145" s="120"/>
      <c r="L145" s="120"/>
      <c r="P145" s="120"/>
      <c r="T145" s="120"/>
      <c r="X145" s="120"/>
      <c r="AB145" s="120"/>
      <c r="AF145" s="403"/>
      <c r="AJ145" s="120"/>
    </row>
    <row r="146" spans="4:36" x14ac:dyDescent="0.25">
      <c r="D146" s="120"/>
      <c r="H146" s="120"/>
      <c r="L146" s="120"/>
      <c r="P146" s="120"/>
      <c r="T146" s="120"/>
      <c r="X146" s="120"/>
      <c r="AB146" s="120"/>
      <c r="AF146" s="403"/>
      <c r="AJ146" s="120"/>
    </row>
    <row r="147" spans="4:36" x14ac:dyDescent="0.25">
      <c r="D147" s="120"/>
      <c r="H147" s="120"/>
      <c r="L147" s="120"/>
      <c r="P147" s="120"/>
      <c r="T147" s="120"/>
      <c r="X147" s="120"/>
      <c r="AB147" s="120"/>
      <c r="AF147" s="403"/>
      <c r="AJ147" s="120"/>
    </row>
    <row r="148" spans="4:36" x14ac:dyDescent="0.25">
      <c r="D148" s="120"/>
      <c r="H148" s="120"/>
      <c r="L148" s="120"/>
      <c r="P148" s="120"/>
      <c r="T148" s="120"/>
      <c r="X148" s="120"/>
      <c r="AB148" s="120"/>
      <c r="AF148" s="403"/>
      <c r="AJ148" s="120"/>
    </row>
    <row r="149" spans="4:36" x14ac:dyDescent="0.25">
      <c r="D149" s="120"/>
      <c r="H149" s="120"/>
      <c r="L149" s="120"/>
      <c r="P149" s="120"/>
      <c r="T149" s="120"/>
      <c r="X149" s="120"/>
      <c r="AB149" s="120"/>
      <c r="AF149" s="403"/>
      <c r="AJ149" s="120"/>
    </row>
    <row r="150" spans="4:36" x14ac:dyDescent="0.25">
      <c r="D150" s="120"/>
      <c r="H150" s="120"/>
      <c r="L150" s="120"/>
      <c r="P150" s="120"/>
      <c r="T150" s="120"/>
      <c r="X150" s="120"/>
      <c r="AB150" s="120"/>
      <c r="AF150" s="403"/>
      <c r="AJ150" s="120"/>
    </row>
    <row r="151" spans="4:36" x14ac:dyDescent="0.25">
      <c r="D151" s="120"/>
      <c r="H151" s="120"/>
      <c r="L151" s="120"/>
      <c r="P151" s="120"/>
      <c r="T151" s="120"/>
      <c r="X151" s="120"/>
      <c r="AB151" s="120"/>
      <c r="AF151" s="403"/>
      <c r="AJ151" s="120"/>
    </row>
    <row r="152" spans="4:36" x14ac:dyDescent="0.25">
      <c r="D152" s="120"/>
      <c r="H152" s="120"/>
      <c r="L152" s="120"/>
      <c r="P152" s="120"/>
      <c r="T152" s="120"/>
      <c r="X152" s="120"/>
      <c r="AB152" s="120"/>
      <c r="AF152" s="403"/>
      <c r="AJ152" s="120"/>
    </row>
    <row r="153" spans="4:36" x14ac:dyDescent="0.25">
      <c r="D153" s="120"/>
      <c r="H153" s="120"/>
      <c r="L153" s="120"/>
      <c r="P153" s="120"/>
      <c r="T153" s="120"/>
      <c r="X153" s="120"/>
      <c r="AB153" s="120"/>
      <c r="AF153" s="403"/>
      <c r="AJ153" s="120"/>
    </row>
    <row r="154" spans="4:36" x14ac:dyDescent="0.25">
      <c r="D154" s="120"/>
      <c r="H154" s="120"/>
      <c r="L154" s="120"/>
      <c r="P154" s="120"/>
      <c r="T154" s="120"/>
      <c r="X154" s="120"/>
      <c r="AB154" s="120"/>
      <c r="AF154" s="403"/>
      <c r="AJ154" s="120"/>
    </row>
    <row r="155" spans="4:36" x14ac:dyDescent="0.25">
      <c r="D155" s="120"/>
      <c r="H155" s="120"/>
      <c r="L155" s="120"/>
      <c r="P155" s="120"/>
      <c r="T155" s="120"/>
      <c r="X155" s="120"/>
      <c r="AB155" s="120"/>
      <c r="AF155" s="403"/>
      <c r="AJ155" s="120"/>
    </row>
    <row r="156" spans="4:36" x14ac:dyDescent="0.25">
      <c r="D156" s="120"/>
      <c r="H156" s="120"/>
      <c r="L156" s="120"/>
      <c r="P156" s="120"/>
      <c r="T156" s="120"/>
      <c r="X156" s="120"/>
      <c r="AB156" s="120"/>
      <c r="AF156" s="403"/>
      <c r="AJ156" s="120"/>
    </row>
    <row r="157" spans="4:36" x14ac:dyDescent="0.25">
      <c r="D157" s="120"/>
      <c r="H157" s="120"/>
      <c r="L157" s="120"/>
      <c r="P157" s="120"/>
      <c r="T157" s="120"/>
      <c r="X157" s="120"/>
      <c r="AB157" s="120"/>
      <c r="AF157" s="403"/>
      <c r="AJ157" s="120"/>
    </row>
    <row r="158" spans="4:36" x14ac:dyDescent="0.25">
      <c r="D158" s="120"/>
      <c r="H158" s="120"/>
      <c r="L158" s="120"/>
      <c r="P158" s="120"/>
      <c r="T158" s="120"/>
      <c r="X158" s="120"/>
      <c r="AB158" s="120"/>
      <c r="AF158" s="403"/>
      <c r="AJ158" s="120"/>
    </row>
    <row r="159" spans="4:36" x14ac:dyDescent="0.25">
      <c r="D159" s="120"/>
      <c r="H159" s="120"/>
      <c r="L159" s="120"/>
      <c r="P159" s="120"/>
      <c r="T159" s="120"/>
      <c r="X159" s="120"/>
      <c r="AB159" s="120"/>
      <c r="AF159" s="403"/>
      <c r="AJ159" s="120"/>
    </row>
    <row r="160" spans="4:36" x14ac:dyDescent="0.25">
      <c r="D160" s="120"/>
      <c r="H160" s="120"/>
      <c r="L160" s="120"/>
      <c r="P160" s="120"/>
      <c r="T160" s="120"/>
      <c r="X160" s="120"/>
      <c r="AB160" s="120"/>
      <c r="AF160" s="403"/>
      <c r="AJ160" s="120"/>
    </row>
    <row r="161" spans="4:36" x14ac:dyDescent="0.25">
      <c r="D161" s="120"/>
      <c r="H161" s="120"/>
      <c r="L161" s="120"/>
      <c r="P161" s="120"/>
      <c r="T161" s="120"/>
      <c r="X161" s="120"/>
      <c r="AB161" s="120"/>
      <c r="AF161" s="403"/>
      <c r="AJ161" s="120"/>
    </row>
    <row r="162" spans="4:36" x14ac:dyDescent="0.25">
      <c r="D162" s="120"/>
      <c r="H162" s="120"/>
      <c r="L162" s="120"/>
      <c r="P162" s="120"/>
      <c r="T162" s="120"/>
      <c r="X162" s="120"/>
      <c r="AB162" s="120"/>
      <c r="AF162" s="403"/>
      <c r="AJ162" s="120"/>
    </row>
    <row r="163" spans="4:36" x14ac:dyDescent="0.25">
      <c r="D163" s="120"/>
      <c r="H163" s="120"/>
      <c r="L163" s="120"/>
      <c r="P163" s="120"/>
      <c r="T163" s="120"/>
      <c r="X163" s="120"/>
      <c r="AB163" s="120"/>
      <c r="AF163" s="403"/>
      <c r="AJ163" s="120"/>
    </row>
    <row r="164" spans="4:36" x14ac:dyDescent="0.25">
      <c r="D164" s="120"/>
      <c r="H164" s="120"/>
      <c r="L164" s="120"/>
      <c r="P164" s="120"/>
      <c r="T164" s="120"/>
      <c r="X164" s="120"/>
      <c r="AB164" s="120"/>
      <c r="AF164" s="403"/>
      <c r="AJ164" s="120"/>
    </row>
    <row r="165" spans="4:36" x14ac:dyDescent="0.25">
      <c r="D165" s="120"/>
      <c r="H165" s="120"/>
      <c r="L165" s="120"/>
      <c r="P165" s="120"/>
      <c r="T165" s="120"/>
      <c r="X165" s="120"/>
      <c r="AB165" s="120"/>
      <c r="AF165" s="403"/>
      <c r="AJ165" s="120"/>
    </row>
    <row r="166" spans="4:36" x14ac:dyDescent="0.25">
      <c r="D166" s="120"/>
      <c r="H166" s="120"/>
      <c r="L166" s="120"/>
      <c r="P166" s="120"/>
      <c r="T166" s="120"/>
      <c r="X166" s="120"/>
      <c r="AB166" s="120"/>
      <c r="AF166" s="403"/>
      <c r="AJ166" s="120"/>
    </row>
    <row r="167" spans="4:36" x14ac:dyDescent="0.25">
      <c r="D167" s="120"/>
      <c r="H167" s="120"/>
      <c r="L167" s="120"/>
      <c r="P167" s="120"/>
      <c r="T167" s="120"/>
      <c r="X167" s="120"/>
      <c r="AB167" s="120"/>
      <c r="AF167" s="403"/>
      <c r="AJ167" s="120"/>
    </row>
    <row r="168" spans="4:36" x14ac:dyDescent="0.25">
      <c r="D168" s="120"/>
      <c r="H168" s="120"/>
      <c r="L168" s="120"/>
      <c r="P168" s="120"/>
      <c r="T168" s="120"/>
      <c r="X168" s="120"/>
      <c r="AB168" s="120"/>
      <c r="AF168" s="403"/>
      <c r="AJ168" s="120"/>
    </row>
    <row r="169" spans="4:36" x14ac:dyDescent="0.25">
      <c r="D169" s="120"/>
      <c r="H169" s="120"/>
      <c r="L169" s="120"/>
      <c r="P169" s="120"/>
      <c r="T169" s="120"/>
      <c r="X169" s="120"/>
      <c r="AB169" s="120"/>
      <c r="AF169" s="403"/>
      <c r="AJ169" s="120"/>
    </row>
    <row r="170" spans="4:36" x14ac:dyDescent="0.25">
      <c r="D170" s="120"/>
      <c r="H170" s="120"/>
      <c r="L170" s="120"/>
      <c r="P170" s="120"/>
      <c r="T170" s="120"/>
      <c r="X170" s="120"/>
      <c r="AB170" s="120"/>
      <c r="AF170" s="403"/>
      <c r="AJ170" s="120"/>
    </row>
    <row r="171" spans="4:36" x14ac:dyDescent="0.25">
      <c r="D171" s="120"/>
      <c r="H171" s="120"/>
      <c r="L171" s="120"/>
      <c r="P171" s="120"/>
      <c r="T171" s="120"/>
      <c r="X171" s="120"/>
      <c r="AB171" s="120"/>
      <c r="AF171" s="403"/>
      <c r="AJ171" s="120"/>
    </row>
    <row r="172" spans="4:36" x14ac:dyDescent="0.25">
      <c r="D172" s="120"/>
      <c r="H172" s="120"/>
      <c r="L172" s="120"/>
      <c r="P172" s="120"/>
      <c r="T172" s="120"/>
      <c r="X172" s="120"/>
      <c r="AB172" s="120"/>
      <c r="AF172" s="403"/>
      <c r="AJ172" s="120"/>
    </row>
    <row r="173" spans="4:36" x14ac:dyDescent="0.25">
      <c r="D173" s="120"/>
      <c r="H173" s="120"/>
      <c r="L173" s="120"/>
      <c r="P173" s="120"/>
      <c r="T173" s="120"/>
      <c r="X173" s="120"/>
      <c r="AB173" s="120"/>
      <c r="AF173" s="403"/>
      <c r="AJ173" s="120"/>
    </row>
    <row r="174" spans="4:36" x14ac:dyDescent="0.25">
      <c r="D174" s="120"/>
      <c r="H174" s="120"/>
      <c r="L174" s="120"/>
      <c r="P174" s="120"/>
      <c r="T174" s="120"/>
      <c r="X174" s="120"/>
      <c r="AB174" s="120"/>
      <c r="AF174" s="403"/>
      <c r="AJ174" s="120"/>
    </row>
    <row r="175" spans="4:36" x14ac:dyDescent="0.25">
      <c r="D175" s="120"/>
      <c r="H175" s="120"/>
      <c r="L175" s="120"/>
      <c r="P175" s="120"/>
      <c r="T175" s="120"/>
      <c r="X175" s="120"/>
      <c r="AB175" s="120"/>
      <c r="AF175" s="403"/>
      <c r="AJ175" s="120"/>
    </row>
    <row r="176" spans="4:36" x14ac:dyDescent="0.25">
      <c r="D176" s="120"/>
      <c r="H176" s="120"/>
      <c r="L176" s="120"/>
      <c r="P176" s="120"/>
      <c r="T176" s="120"/>
      <c r="X176" s="120"/>
      <c r="AB176" s="120"/>
      <c r="AF176" s="403"/>
      <c r="AJ176" s="120"/>
    </row>
    <row r="177" spans="4:36" x14ac:dyDescent="0.25">
      <c r="D177" s="120"/>
      <c r="H177" s="120"/>
      <c r="L177" s="120"/>
      <c r="P177" s="120"/>
      <c r="T177" s="120"/>
      <c r="X177" s="120"/>
      <c r="AB177" s="120"/>
      <c r="AF177" s="403"/>
      <c r="AJ177" s="120"/>
    </row>
    <row r="178" spans="4:36" x14ac:dyDescent="0.25">
      <c r="D178" s="120"/>
      <c r="H178" s="120"/>
      <c r="L178" s="120"/>
      <c r="P178" s="120"/>
      <c r="T178" s="120"/>
      <c r="X178" s="120"/>
      <c r="AB178" s="120"/>
      <c r="AF178" s="403"/>
      <c r="AJ178" s="120"/>
    </row>
    <row r="179" spans="4:36" x14ac:dyDescent="0.25">
      <c r="D179" s="120"/>
      <c r="H179" s="120"/>
      <c r="L179" s="120"/>
      <c r="P179" s="120"/>
      <c r="T179" s="120"/>
      <c r="X179" s="120"/>
      <c r="AB179" s="120"/>
      <c r="AF179" s="403"/>
      <c r="AJ179" s="120"/>
    </row>
    <row r="180" spans="4:36" x14ac:dyDescent="0.25">
      <c r="D180" s="120"/>
      <c r="H180" s="120"/>
      <c r="L180" s="120"/>
      <c r="P180" s="120"/>
      <c r="T180" s="120"/>
      <c r="X180" s="120"/>
      <c r="AB180" s="120"/>
      <c r="AF180" s="403"/>
      <c r="AJ180" s="120"/>
    </row>
    <row r="181" spans="4:36" x14ac:dyDescent="0.25">
      <c r="D181" s="120"/>
      <c r="H181" s="120"/>
      <c r="L181" s="120"/>
      <c r="P181" s="120"/>
      <c r="T181" s="120"/>
      <c r="X181" s="120"/>
      <c r="AB181" s="120"/>
      <c r="AF181" s="403"/>
      <c r="AJ181" s="120"/>
    </row>
    <row r="182" spans="4:36" x14ac:dyDescent="0.25">
      <c r="D182" s="120"/>
      <c r="H182" s="120"/>
      <c r="L182" s="120"/>
      <c r="P182" s="120"/>
      <c r="T182" s="120"/>
      <c r="X182" s="120"/>
      <c r="AB182" s="120"/>
      <c r="AF182" s="403"/>
      <c r="AJ182" s="120"/>
    </row>
    <row r="183" spans="4:36" x14ac:dyDescent="0.25">
      <c r="D183" s="120"/>
      <c r="H183" s="120"/>
      <c r="L183" s="120"/>
      <c r="P183" s="120"/>
      <c r="T183" s="120"/>
      <c r="X183" s="120"/>
      <c r="AB183" s="120"/>
      <c r="AF183" s="403"/>
      <c r="AJ183" s="120"/>
    </row>
    <row r="184" spans="4:36" x14ac:dyDescent="0.25">
      <c r="D184" s="120"/>
      <c r="H184" s="120"/>
      <c r="L184" s="120"/>
      <c r="P184" s="120"/>
      <c r="T184" s="120"/>
      <c r="X184" s="120"/>
      <c r="AB184" s="120"/>
      <c r="AF184" s="403"/>
      <c r="AJ184" s="120"/>
    </row>
    <row r="185" spans="4:36" x14ac:dyDescent="0.25">
      <c r="D185" s="120"/>
      <c r="H185" s="120"/>
      <c r="L185" s="120"/>
      <c r="P185" s="120"/>
      <c r="T185" s="120"/>
      <c r="X185" s="120"/>
      <c r="AB185" s="120"/>
      <c r="AF185" s="403"/>
      <c r="AJ185" s="120"/>
    </row>
    <row r="186" spans="4:36" x14ac:dyDescent="0.25">
      <c r="D186" s="120"/>
      <c r="H186" s="120"/>
      <c r="L186" s="120"/>
      <c r="P186" s="120"/>
      <c r="T186" s="120"/>
      <c r="X186" s="120"/>
      <c r="AB186" s="120"/>
      <c r="AF186" s="403"/>
      <c r="AJ186" s="120"/>
    </row>
    <row r="187" spans="4:36" x14ac:dyDescent="0.25">
      <c r="D187" s="120"/>
      <c r="H187" s="120"/>
      <c r="L187" s="120"/>
      <c r="P187" s="120"/>
      <c r="T187" s="120"/>
      <c r="X187" s="120"/>
      <c r="AB187" s="120"/>
      <c r="AF187" s="403"/>
      <c r="AJ187" s="120"/>
    </row>
    <row r="188" spans="4:36" x14ac:dyDescent="0.25">
      <c r="D188" s="120"/>
      <c r="H188" s="120"/>
      <c r="L188" s="120"/>
      <c r="P188" s="120"/>
      <c r="T188" s="120"/>
      <c r="X188" s="120"/>
      <c r="AB188" s="120"/>
      <c r="AF188" s="403"/>
      <c r="AJ188" s="120"/>
    </row>
    <row r="189" spans="4:36" x14ac:dyDescent="0.25">
      <c r="D189" s="120"/>
      <c r="H189" s="120"/>
      <c r="L189" s="120"/>
      <c r="P189" s="120"/>
      <c r="T189" s="120"/>
      <c r="X189" s="120"/>
      <c r="AB189" s="120"/>
      <c r="AF189" s="403"/>
      <c r="AJ189" s="120"/>
    </row>
    <row r="190" spans="4:36" x14ac:dyDescent="0.25">
      <c r="D190" s="120"/>
      <c r="H190" s="120"/>
      <c r="L190" s="120"/>
      <c r="P190" s="120"/>
      <c r="T190" s="120"/>
      <c r="X190" s="120"/>
      <c r="AB190" s="120"/>
      <c r="AF190" s="403"/>
      <c r="AJ190" s="120"/>
    </row>
    <row r="191" spans="4:36" x14ac:dyDescent="0.25">
      <c r="D191" s="120"/>
      <c r="H191" s="120"/>
      <c r="L191" s="120"/>
      <c r="P191" s="120"/>
      <c r="T191" s="120"/>
      <c r="X191" s="120"/>
      <c r="AB191" s="120"/>
      <c r="AF191" s="403"/>
      <c r="AJ191" s="120"/>
    </row>
    <row r="192" spans="4:36" x14ac:dyDescent="0.25">
      <c r="D192" s="120"/>
      <c r="H192" s="120"/>
      <c r="L192" s="120"/>
      <c r="P192" s="120"/>
      <c r="T192" s="120"/>
      <c r="X192" s="120"/>
      <c r="AB192" s="120"/>
      <c r="AF192" s="403"/>
      <c r="AJ192" s="120"/>
    </row>
    <row r="193" spans="4:36" x14ac:dyDescent="0.25">
      <c r="D193" s="120"/>
      <c r="H193" s="120"/>
      <c r="L193" s="120"/>
      <c r="P193" s="120"/>
      <c r="T193" s="120"/>
      <c r="X193" s="120"/>
      <c r="AB193" s="120"/>
      <c r="AF193" s="403"/>
      <c r="AJ193" s="120"/>
    </row>
    <row r="194" spans="4:36" x14ac:dyDescent="0.25">
      <c r="D194" s="120"/>
      <c r="H194" s="120"/>
      <c r="L194" s="120"/>
      <c r="P194" s="120"/>
      <c r="T194" s="120"/>
      <c r="X194" s="120"/>
      <c r="AB194" s="120"/>
      <c r="AF194" s="403"/>
      <c r="AJ194" s="120"/>
    </row>
    <row r="195" spans="4:36" x14ac:dyDescent="0.25">
      <c r="D195" s="120"/>
      <c r="H195" s="120"/>
      <c r="L195" s="120"/>
      <c r="P195" s="120"/>
      <c r="T195" s="120"/>
      <c r="X195" s="120"/>
      <c r="AB195" s="120"/>
      <c r="AF195" s="403"/>
      <c r="AJ195" s="120"/>
    </row>
    <row r="196" spans="4:36" x14ac:dyDescent="0.25">
      <c r="D196" s="120"/>
      <c r="H196" s="120"/>
      <c r="L196" s="120"/>
      <c r="P196" s="120"/>
      <c r="T196" s="120"/>
      <c r="X196" s="120"/>
      <c r="AB196" s="120"/>
      <c r="AF196" s="403"/>
      <c r="AJ196" s="120"/>
    </row>
    <row r="197" spans="4:36" x14ac:dyDescent="0.25">
      <c r="D197" s="120"/>
      <c r="H197" s="120"/>
      <c r="L197" s="120"/>
      <c r="P197" s="120"/>
      <c r="T197" s="120"/>
      <c r="X197" s="120"/>
      <c r="AB197" s="120"/>
      <c r="AF197" s="403"/>
      <c r="AJ197" s="120"/>
    </row>
    <row r="198" spans="4:36" x14ac:dyDescent="0.25">
      <c r="D198" s="120"/>
      <c r="H198" s="120"/>
      <c r="L198" s="120"/>
      <c r="P198" s="120"/>
      <c r="T198" s="120"/>
      <c r="X198" s="120"/>
      <c r="AB198" s="120"/>
      <c r="AF198" s="403"/>
      <c r="AJ198" s="120"/>
    </row>
    <row r="199" spans="4:36" x14ac:dyDescent="0.25">
      <c r="D199" s="120"/>
      <c r="H199" s="120"/>
      <c r="L199" s="120"/>
      <c r="P199" s="120"/>
      <c r="T199" s="120"/>
      <c r="X199" s="120"/>
      <c r="AB199" s="120"/>
      <c r="AF199" s="403"/>
      <c r="AJ199" s="120"/>
    </row>
    <row r="200" spans="4:36" x14ac:dyDescent="0.25">
      <c r="D200" s="120"/>
      <c r="H200" s="120"/>
      <c r="L200" s="120"/>
      <c r="P200" s="120"/>
      <c r="T200" s="120"/>
      <c r="X200" s="120"/>
      <c r="AB200" s="120"/>
      <c r="AF200" s="403"/>
      <c r="AJ200" s="120"/>
    </row>
    <row r="201" spans="4:36" x14ac:dyDescent="0.25">
      <c r="D201" s="120"/>
      <c r="H201" s="120"/>
      <c r="L201" s="120"/>
      <c r="P201" s="120"/>
      <c r="T201" s="120"/>
      <c r="X201" s="120"/>
      <c r="AB201" s="120"/>
      <c r="AF201" s="403"/>
      <c r="AJ201" s="120"/>
    </row>
    <row r="202" spans="4:36" x14ac:dyDescent="0.25">
      <c r="D202" s="120"/>
      <c r="H202" s="120"/>
      <c r="L202" s="120"/>
      <c r="P202" s="120"/>
      <c r="T202" s="120"/>
      <c r="X202" s="120"/>
      <c r="AB202" s="120"/>
      <c r="AF202" s="403"/>
      <c r="AJ202" s="120"/>
    </row>
    <row r="203" spans="4:36" x14ac:dyDescent="0.25">
      <c r="D203" s="120"/>
      <c r="H203" s="120"/>
      <c r="L203" s="120"/>
      <c r="P203" s="120"/>
      <c r="T203" s="120"/>
      <c r="X203" s="120"/>
      <c r="AB203" s="120"/>
      <c r="AF203" s="403"/>
      <c r="AJ203" s="120"/>
    </row>
    <row r="204" spans="4:36" x14ac:dyDescent="0.25">
      <c r="D204" s="120"/>
      <c r="H204" s="120"/>
      <c r="L204" s="120"/>
      <c r="P204" s="120"/>
      <c r="T204" s="120"/>
      <c r="X204" s="120"/>
      <c r="AB204" s="120"/>
      <c r="AF204" s="403"/>
      <c r="AJ204" s="120"/>
    </row>
    <row r="205" spans="4:36" x14ac:dyDescent="0.25">
      <c r="D205" s="120"/>
      <c r="H205" s="120"/>
      <c r="L205" s="120"/>
      <c r="P205" s="120"/>
      <c r="T205" s="120"/>
      <c r="X205" s="120"/>
      <c r="AB205" s="120"/>
      <c r="AF205" s="403"/>
      <c r="AJ205" s="120"/>
    </row>
    <row r="206" spans="4:36" x14ac:dyDescent="0.25">
      <c r="D206" s="120"/>
      <c r="H206" s="120"/>
      <c r="L206" s="120"/>
      <c r="P206" s="120"/>
      <c r="T206" s="120"/>
      <c r="X206" s="120"/>
      <c r="AB206" s="120"/>
      <c r="AF206" s="403"/>
      <c r="AJ206" s="120"/>
    </row>
    <row r="207" spans="4:36" x14ac:dyDescent="0.25">
      <c r="D207" s="120"/>
      <c r="H207" s="120"/>
      <c r="L207" s="120"/>
      <c r="P207" s="120"/>
      <c r="T207" s="120"/>
      <c r="X207" s="120"/>
      <c r="AB207" s="120"/>
      <c r="AF207" s="403"/>
      <c r="AJ207" s="120"/>
    </row>
    <row r="208" spans="4:36" x14ac:dyDescent="0.25">
      <c r="D208" s="120"/>
      <c r="H208" s="120"/>
      <c r="L208" s="120"/>
      <c r="P208" s="120"/>
      <c r="T208" s="120"/>
      <c r="X208" s="120"/>
      <c r="AB208" s="120"/>
      <c r="AF208" s="403"/>
      <c r="AJ208" s="120"/>
    </row>
    <row r="209" spans="4:36" x14ac:dyDescent="0.25">
      <c r="D209" s="120"/>
      <c r="H209" s="120"/>
      <c r="L209" s="120"/>
      <c r="P209" s="120"/>
      <c r="T209" s="120"/>
      <c r="X209" s="120"/>
      <c r="AB209" s="120"/>
      <c r="AF209" s="403"/>
      <c r="AJ209" s="120"/>
    </row>
    <row r="210" spans="4:36" x14ac:dyDescent="0.25">
      <c r="D210" s="120"/>
      <c r="H210" s="120"/>
      <c r="L210" s="120"/>
      <c r="P210" s="120"/>
      <c r="T210" s="120"/>
      <c r="X210" s="120"/>
      <c r="AB210" s="120"/>
      <c r="AF210" s="403"/>
      <c r="AJ210" s="120"/>
    </row>
    <row r="211" spans="4:36" x14ac:dyDescent="0.25">
      <c r="D211" s="120"/>
      <c r="H211" s="120"/>
      <c r="L211" s="120"/>
      <c r="P211" s="120"/>
      <c r="T211" s="120"/>
      <c r="X211" s="120"/>
      <c r="AB211" s="120"/>
      <c r="AF211" s="403"/>
      <c r="AJ211" s="120"/>
    </row>
    <row r="212" spans="4:36" x14ac:dyDescent="0.25">
      <c r="D212" s="120"/>
      <c r="H212" s="120"/>
      <c r="L212" s="120"/>
      <c r="P212" s="120"/>
      <c r="T212" s="120"/>
      <c r="X212" s="120"/>
      <c r="AB212" s="120"/>
      <c r="AF212" s="403"/>
      <c r="AJ212" s="120"/>
    </row>
    <row r="213" spans="4:36" x14ac:dyDescent="0.25">
      <c r="D213" s="120"/>
      <c r="H213" s="120"/>
      <c r="L213" s="120"/>
      <c r="P213" s="120"/>
      <c r="T213" s="120"/>
      <c r="X213" s="120"/>
      <c r="AB213" s="120"/>
      <c r="AF213" s="403"/>
      <c r="AJ213" s="120"/>
    </row>
    <row r="214" spans="4:36" x14ac:dyDescent="0.25">
      <c r="D214" s="120"/>
      <c r="H214" s="120"/>
      <c r="L214" s="120"/>
      <c r="P214" s="120"/>
      <c r="T214" s="120"/>
      <c r="X214" s="120"/>
      <c r="AB214" s="120"/>
      <c r="AF214" s="403"/>
      <c r="AJ214" s="120"/>
    </row>
    <row r="215" spans="4:36" x14ac:dyDescent="0.25">
      <c r="D215" s="120"/>
      <c r="H215" s="120"/>
      <c r="L215" s="120"/>
      <c r="P215" s="120"/>
      <c r="T215" s="120"/>
      <c r="X215" s="120"/>
      <c r="AB215" s="120"/>
      <c r="AF215" s="403"/>
      <c r="AJ215" s="120"/>
    </row>
    <row r="216" spans="4:36" x14ac:dyDescent="0.25">
      <c r="D216" s="120"/>
      <c r="H216" s="120"/>
      <c r="L216" s="120"/>
      <c r="P216" s="120"/>
      <c r="T216" s="120"/>
      <c r="X216" s="120"/>
      <c r="AB216" s="120"/>
      <c r="AF216" s="403"/>
      <c r="AJ216" s="120"/>
    </row>
    <row r="217" spans="4:36" x14ac:dyDescent="0.25">
      <c r="D217" s="120"/>
      <c r="H217" s="120"/>
      <c r="L217" s="120"/>
      <c r="P217" s="120"/>
      <c r="T217" s="120"/>
      <c r="X217" s="120"/>
      <c r="AB217" s="120"/>
      <c r="AF217" s="403"/>
      <c r="AJ217" s="120"/>
    </row>
    <row r="218" spans="4:36" x14ac:dyDescent="0.25">
      <c r="D218" s="120"/>
      <c r="H218" s="120"/>
      <c r="L218" s="120"/>
      <c r="P218" s="120"/>
      <c r="T218" s="120"/>
      <c r="X218" s="120"/>
      <c r="AB218" s="120"/>
      <c r="AF218" s="403"/>
      <c r="AJ218" s="120"/>
    </row>
    <row r="219" spans="4:36" x14ac:dyDescent="0.25">
      <c r="D219" s="120"/>
      <c r="H219" s="120"/>
      <c r="L219" s="120"/>
      <c r="P219" s="120"/>
      <c r="T219" s="120"/>
      <c r="X219" s="120"/>
      <c r="AB219" s="120"/>
      <c r="AF219" s="403"/>
      <c r="AJ219" s="120"/>
    </row>
    <row r="220" spans="4:36" x14ac:dyDescent="0.25">
      <c r="D220" s="120"/>
      <c r="H220" s="120"/>
      <c r="L220" s="120"/>
      <c r="P220" s="120"/>
      <c r="T220" s="120"/>
      <c r="X220" s="120"/>
      <c r="AB220" s="120"/>
      <c r="AF220" s="403"/>
      <c r="AJ220" s="120"/>
    </row>
    <row r="221" spans="4:36" x14ac:dyDescent="0.25">
      <c r="D221" s="120"/>
      <c r="H221" s="120"/>
      <c r="L221" s="120"/>
      <c r="P221" s="120"/>
      <c r="T221" s="120"/>
      <c r="X221" s="120"/>
      <c r="AB221" s="120"/>
      <c r="AF221" s="403"/>
      <c r="AJ221" s="120"/>
    </row>
    <row r="222" spans="4:36" x14ac:dyDescent="0.25">
      <c r="D222" s="120"/>
      <c r="H222" s="120"/>
      <c r="L222" s="120"/>
      <c r="P222" s="120"/>
      <c r="T222" s="120"/>
      <c r="X222" s="120"/>
      <c r="AB222" s="120"/>
      <c r="AF222" s="403"/>
      <c r="AJ222" s="120"/>
    </row>
    <row r="223" spans="4:36" x14ac:dyDescent="0.25">
      <c r="D223" s="120"/>
      <c r="H223" s="120"/>
      <c r="L223" s="120"/>
      <c r="P223" s="120"/>
      <c r="T223" s="120"/>
      <c r="X223" s="120"/>
      <c r="AB223" s="120"/>
      <c r="AF223" s="403"/>
      <c r="AJ223" s="120"/>
    </row>
    <row r="224" spans="4:36" x14ac:dyDescent="0.25">
      <c r="D224" s="120"/>
      <c r="H224" s="120"/>
      <c r="L224" s="120"/>
      <c r="P224" s="120"/>
      <c r="T224" s="120"/>
      <c r="X224" s="120"/>
      <c r="AB224" s="120"/>
      <c r="AF224" s="403"/>
      <c r="AJ224" s="120"/>
    </row>
    <row r="225" spans="4:36" x14ac:dyDescent="0.25">
      <c r="D225" s="120"/>
      <c r="H225" s="120"/>
      <c r="L225" s="120"/>
      <c r="P225" s="120"/>
      <c r="T225" s="120"/>
      <c r="X225" s="120"/>
      <c r="AB225" s="120"/>
      <c r="AF225" s="403"/>
      <c r="AJ225" s="120"/>
    </row>
    <row r="226" spans="4:36" x14ac:dyDescent="0.25">
      <c r="D226" s="120"/>
      <c r="H226" s="120"/>
      <c r="L226" s="120"/>
      <c r="P226" s="120"/>
      <c r="T226" s="120"/>
      <c r="X226" s="120"/>
      <c r="AB226" s="120"/>
      <c r="AF226" s="403"/>
      <c r="AJ226" s="120"/>
    </row>
    <row r="227" spans="4:36" x14ac:dyDescent="0.25">
      <c r="D227" s="120"/>
      <c r="H227" s="120"/>
      <c r="L227" s="120"/>
      <c r="P227" s="120"/>
      <c r="T227" s="120"/>
      <c r="X227" s="120"/>
      <c r="AB227" s="120"/>
      <c r="AF227" s="403"/>
      <c r="AJ227" s="120"/>
    </row>
    <row r="228" spans="4:36" x14ac:dyDescent="0.25">
      <c r="D228" s="120"/>
      <c r="H228" s="120"/>
      <c r="L228" s="120"/>
      <c r="P228" s="120"/>
      <c r="T228" s="120"/>
      <c r="X228" s="120"/>
      <c r="AB228" s="120"/>
      <c r="AF228" s="403"/>
      <c r="AJ228" s="120"/>
    </row>
    <row r="229" spans="4:36" x14ac:dyDescent="0.25">
      <c r="D229" s="120"/>
      <c r="H229" s="120"/>
      <c r="L229" s="120"/>
      <c r="P229" s="120"/>
      <c r="T229" s="120"/>
      <c r="X229" s="120"/>
      <c r="AB229" s="120"/>
      <c r="AF229" s="403"/>
      <c r="AJ229" s="120"/>
    </row>
    <row r="230" spans="4:36" x14ac:dyDescent="0.25">
      <c r="D230" s="120"/>
      <c r="H230" s="120"/>
      <c r="L230" s="120"/>
      <c r="P230" s="120"/>
      <c r="T230" s="120"/>
      <c r="X230" s="120"/>
      <c r="AB230" s="120"/>
      <c r="AF230" s="403"/>
      <c r="AJ230" s="120"/>
    </row>
    <row r="231" spans="4:36" x14ac:dyDescent="0.25">
      <c r="D231" s="120"/>
      <c r="H231" s="120"/>
      <c r="L231" s="120"/>
      <c r="P231" s="120"/>
      <c r="T231" s="120"/>
      <c r="X231" s="120"/>
      <c r="AB231" s="120"/>
      <c r="AF231" s="403"/>
      <c r="AJ231" s="120"/>
    </row>
    <row r="232" spans="4:36" x14ac:dyDescent="0.25">
      <c r="D232" s="120"/>
      <c r="H232" s="120"/>
      <c r="L232" s="120"/>
      <c r="P232" s="120"/>
      <c r="T232" s="120"/>
      <c r="X232" s="120"/>
      <c r="AB232" s="120"/>
      <c r="AF232" s="403"/>
      <c r="AJ232" s="120"/>
    </row>
    <row r="233" spans="4:36" x14ac:dyDescent="0.25">
      <c r="D233" s="120"/>
      <c r="H233" s="120"/>
      <c r="L233" s="120"/>
      <c r="P233" s="120"/>
      <c r="T233" s="120"/>
      <c r="X233" s="120"/>
      <c r="AB233" s="120"/>
      <c r="AF233" s="403"/>
      <c r="AJ233" s="120"/>
    </row>
    <row r="234" spans="4:36" x14ac:dyDescent="0.25">
      <c r="D234" s="120"/>
      <c r="H234" s="120"/>
      <c r="L234" s="120"/>
      <c r="P234" s="120"/>
      <c r="T234" s="120"/>
      <c r="X234" s="120"/>
      <c r="AB234" s="120"/>
      <c r="AF234" s="403"/>
      <c r="AJ234" s="120"/>
    </row>
    <row r="235" spans="4:36" x14ac:dyDescent="0.25">
      <c r="D235" s="120"/>
      <c r="H235" s="120"/>
      <c r="L235" s="120"/>
      <c r="P235" s="120"/>
      <c r="T235" s="120"/>
      <c r="X235" s="120"/>
      <c r="AB235" s="120"/>
      <c r="AF235" s="403"/>
      <c r="AJ235" s="120"/>
    </row>
    <row r="236" spans="4:36" x14ac:dyDescent="0.25">
      <c r="D236" s="120"/>
      <c r="H236" s="120"/>
      <c r="L236" s="120"/>
      <c r="P236" s="120"/>
      <c r="T236" s="120"/>
      <c r="X236" s="120"/>
      <c r="AB236" s="120"/>
      <c r="AF236" s="403"/>
      <c r="AJ236" s="120"/>
    </row>
    <row r="237" spans="4:36" x14ac:dyDescent="0.25">
      <c r="D237" s="120"/>
      <c r="H237" s="120"/>
      <c r="L237" s="120"/>
      <c r="P237" s="120"/>
      <c r="T237" s="120"/>
      <c r="X237" s="120"/>
      <c r="AB237" s="120"/>
      <c r="AF237" s="403"/>
      <c r="AJ237" s="120"/>
    </row>
    <row r="238" spans="4:36" x14ac:dyDescent="0.25">
      <c r="D238" s="120"/>
      <c r="H238" s="120"/>
      <c r="L238" s="120"/>
      <c r="P238" s="120"/>
      <c r="T238" s="120"/>
      <c r="X238" s="120"/>
      <c r="AB238" s="120"/>
      <c r="AF238" s="403"/>
      <c r="AJ238" s="120"/>
    </row>
    <row r="239" spans="4:36" x14ac:dyDescent="0.25">
      <c r="D239" s="120"/>
      <c r="H239" s="120"/>
      <c r="L239" s="120"/>
      <c r="P239" s="120"/>
      <c r="T239" s="120"/>
      <c r="X239" s="120"/>
      <c r="AB239" s="120"/>
      <c r="AF239" s="403"/>
      <c r="AJ239" s="120"/>
    </row>
    <row r="240" spans="4:36" x14ac:dyDescent="0.25">
      <c r="D240" s="120"/>
      <c r="H240" s="120"/>
      <c r="L240" s="120"/>
      <c r="P240" s="120"/>
      <c r="T240" s="120"/>
      <c r="X240" s="120"/>
      <c r="AB240" s="120"/>
      <c r="AF240" s="403"/>
      <c r="AJ240" s="120"/>
    </row>
    <row r="241" spans="4:36" x14ac:dyDescent="0.25">
      <c r="D241" s="120"/>
      <c r="H241" s="120"/>
      <c r="L241" s="120"/>
      <c r="P241" s="120"/>
      <c r="T241" s="120"/>
      <c r="X241" s="120"/>
      <c r="AB241" s="120"/>
      <c r="AF241" s="403"/>
      <c r="AJ241" s="120"/>
    </row>
    <row r="242" spans="4:36" x14ac:dyDescent="0.25">
      <c r="D242" s="120"/>
      <c r="H242" s="120"/>
      <c r="L242" s="120"/>
      <c r="P242" s="120"/>
      <c r="T242" s="120"/>
      <c r="X242" s="120"/>
      <c r="AB242" s="120"/>
      <c r="AF242" s="403"/>
      <c r="AJ242" s="120"/>
    </row>
    <row r="243" spans="4:36" x14ac:dyDescent="0.25">
      <c r="D243" s="120"/>
      <c r="H243" s="120"/>
      <c r="L243" s="120"/>
      <c r="P243" s="120"/>
      <c r="T243" s="120"/>
      <c r="X243" s="120"/>
      <c r="AB243" s="120"/>
      <c r="AF243" s="403"/>
      <c r="AJ243" s="120"/>
    </row>
    <row r="244" spans="4:36" x14ac:dyDescent="0.25">
      <c r="D244" s="120"/>
      <c r="H244" s="120"/>
      <c r="L244" s="120"/>
      <c r="P244" s="120"/>
      <c r="T244" s="120"/>
      <c r="X244" s="120"/>
      <c r="AB244" s="120"/>
      <c r="AF244" s="403"/>
      <c r="AJ244" s="120"/>
    </row>
    <row r="245" spans="4:36" x14ac:dyDescent="0.25">
      <c r="D245" s="120"/>
      <c r="H245" s="120"/>
      <c r="L245" s="120"/>
      <c r="P245" s="120"/>
      <c r="T245" s="120"/>
      <c r="X245" s="120"/>
      <c r="AB245" s="120"/>
      <c r="AF245" s="403"/>
      <c r="AJ245" s="120"/>
    </row>
    <row r="246" spans="4:36" x14ac:dyDescent="0.25">
      <c r="D246" s="120"/>
      <c r="H246" s="120"/>
      <c r="L246" s="120"/>
      <c r="P246" s="120"/>
      <c r="T246" s="120"/>
      <c r="X246" s="120"/>
      <c r="AB246" s="120"/>
      <c r="AF246" s="403"/>
      <c r="AJ246" s="120"/>
    </row>
    <row r="247" spans="4:36" x14ac:dyDescent="0.25">
      <c r="D247" s="120"/>
      <c r="H247" s="120"/>
      <c r="L247" s="120"/>
      <c r="P247" s="120"/>
      <c r="T247" s="120"/>
      <c r="X247" s="120"/>
      <c r="AB247" s="120"/>
      <c r="AF247" s="403"/>
      <c r="AJ247" s="120"/>
    </row>
    <row r="248" spans="4:36" x14ac:dyDescent="0.25">
      <c r="D248" s="120"/>
      <c r="H248" s="120"/>
      <c r="L248" s="120"/>
      <c r="P248" s="120"/>
      <c r="T248" s="120"/>
      <c r="X248" s="120"/>
      <c r="AB248" s="120"/>
      <c r="AF248" s="403"/>
      <c r="AJ248" s="120"/>
    </row>
    <row r="249" spans="4:36" x14ac:dyDescent="0.25">
      <c r="D249" s="120"/>
      <c r="H249" s="120"/>
      <c r="L249" s="120"/>
      <c r="P249" s="120"/>
      <c r="T249" s="120"/>
      <c r="X249" s="120"/>
      <c r="AB249" s="120"/>
      <c r="AF249" s="403"/>
      <c r="AJ249" s="120"/>
    </row>
    <row r="250" spans="4:36" x14ac:dyDescent="0.25">
      <c r="D250" s="120"/>
      <c r="H250" s="120"/>
      <c r="L250" s="120"/>
      <c r="P250" s="120"/>
      <c r="T250" s="120"/>
      <c r="X250" s="120"/>
      <c r="AB250" s="120"/>
      <c r="AF250" s="403"/>
      <c r="AJ250" s="120"/>
    </row>
    <row r="251" spans="4:36" x14ac:dyDescent="0.25">
      <c r="D251" s="120"/>
      <c r="H251" s="120"/>
      <c r="L251" s="120"/>
      <c r="P251" s="120"/>
      <c r="T251" s="120"/>
      <c r="X251" s="120"/>
      <c r="AB251" s="120"/>
      <c r="AF251" s="403"/>
      <c r="AJ251" s="120"/>
    </row>
    <row r="252" spans="4:36" x14ac:dyDescent="0.25">
      <c r="D252" s="120"/>
      <c r="H252" s="120"/>
      <c r="L252" s="120"/>
      <c r="P252" s="120"/>
      <c r="T252" s="120"/>
      <c r="X252" s="120"/>
      <c r="AB252" s="120"/>
      <c r="AF252" s="403"/>
      <c r="AJ252" s="120"/>
    </row>
    <row r="253" spans="4:36" x14ac:dyDescent="0.25">
      <c r="D253" s="120"/>
      <c r="H253" s="120"/>
      <c r="L253" s="120"/>
      <c r="P253" s="120"/>
      <c r="T253" s="120"/>
      <c r="X253" s="120"/>
      <c r="AB253" s="120"/>
      <c r="AF253" s="403"/>
      <c r="AJ253" s="120"/>
    </row>
    <row r="254" spans="4:36" x14ac:dyDescent="0.25">
      <c r="D254" s="120"/>
      <c r="H254" s="120"/>
      <c r="L254" s="120"/>
      <c r="P254" s="120"/>
      <c r="T254" s="120"/>
      <c r="X254" s="120"/>
      <c r="AB254" s="120"/>
      <c r="AF254" s="403"/>
      <c r="AJ254" s="120"/>
    </row>
    <row r="255" spans="4:36" x14ac:dyDescent="0.25">
      <c r="D255" s="120"/>
      <c r="H255" s="120"/>
      <c r="L255" s="120"/>
      <c r="P255" s="120"/>
      <c r="T255" s="120"/>
      <c r="X255" s="120"/>
      <c r="AB255" s="120"/>
      <c r="AF255" s="403"/>
      <c r="AJ255" s="120"/>
    </row>
    <row r="256" spans="4:36" x14ac:dyDescent="0.25">
      <c r="D256" s="120"/>
      <c r="H256" s="120"/>
      <c r="L256" s="120"/>
      <c r="P256" s="120"/>
      <c r="T256" s="120"/>
      <c r="X256" s="120"/>
      <c r="AB256" s="120"/>
      <c r="AF256" s="403"/>
      <c r="AJ256" s="120"/>
    </row>
    <row r="257" spans="4:36" x14ac:dyDescent="0.25">
      <c r="D257" s="120"/>
      <c r="H257" s="120"/>
      <c r="L257" s="120"/>
      <c r="P257" s="120"/>
      <c r="T257" s="120"/>
      <c r="X257" s="120"/>
      <c r="AB257" s="120"/>
      <c r="AF257" s="403"/>
      <c r="AJ257" s="120"/>
    </row>
    <row r="258" spans="4:36" x14ac:dyDescent="0.25">
      <c r="D258" s="120"/>
      <c r="H258" s="120"/>
      <c r="L258" s="120"/>
      <c r="P258" s="120"/>
      <c r="T258" s="120"/>
      <c r="X258" s="120"/>
      <c r="AB258" s="120"/>
      <c r="AF258" s="403"/>
      <c r="AJ258" s="120"/>
    </row>
    <row r="259" spans="4:36" x14ac:dyDescent="0.25">
      <c r="D259" s="120"/>
      <c r="H259" s="120"/>
      <c r="L259" s="120"/>
      <c r="P259" s="120"/>
      <c r="T259" s="120"/>
      <c r="X259" s="120"/>
      <c r="AB259" s="120"/>
      <c r="AF259" s="403"/>
      <c r="AJ259" s="120"/>
    </row>
    <row r="260" spans="4:36" x14ac:dyDescent="0.25">
      <c r="D260" s="120"/>
      <c r="H260" s="120"/>
      <c r="L260" s="120"/>
      <c r="P260" s="120"/>
      <c r="T260" s="120"/>
      <c r="X260" s="120"/>
      <c r="AB260" s="120"/>
      <c r="AF260" s="403"/>
      <c r="AJ260" s="120"/>
    </row>
    <row r="261" spans="4:36" x14ac:dyDescent="0.25">
      <c r="D261" s="120"/>
      <c r="H261" s="120"/>
      <c r="L261" s="120"/>
      <c r="P261" s="120"/>
      <c r="T261" s="120"/>
      <c r="X261" s="120"/>
      <c r="AB261" s="120"/>
      <c r="AF261" s="403"/>
      <c r="AJ261" s="120"/>
    </row>
    <row r="262" spans="4:36" x14ac:dyDescent="0.25">
      <c r="D262" s="120"/>
      <c r="H262" s="120"/>
      <c r="L262" s="120"/>
      <c r="P262" s="120"/>
      <c r="T262" s="120"/>
      <c r="X262" s="120"/>
      <c r="AB262" s="120"/>
      <c r="AF262" s="403"/>
      <c r="AJ262" s="120"/>
    </row>
    <row r="263" spans="4:36" x14ac:dyDescent="0.25">
      <c r="D263" s="120"/>
      <c r="H263" s="120"/>
      <c r="L263" s="120"/>
      <c r="P263" s="120"/>
      <c r="T263" s="120"/>
      <c r="X263" s="120"/>
      <c r="AB263" s="120"/>
      <c r="AF263" s="403"/>
      <c r="AJ263" s="120"/>
    </row>
    <row r="264" spans="4:36" x14ac:dyDescent="0.25">
      <c r="D264" s="120"/>
      <c r="H264" s="120"/>
      <c r="L264" s="120"/>
      <c r="P264" s="120"/>
      <c r="T264" s="120"/>
      <c r="X264" s="120"/>
      <c r="AB264" s="120"/>
      <c r="AF264" s="403"/>
      <c r="AJ264" s="120"/>
    </row>
    <row r="265" spans="4:36" x14ac:dyDescent="0.25">
      <c r="D265" s="120"/>
      <c r="H265" s="120"/>
      <c r="L265" s="120"/>
      <c r="P265" s="120"/>
      <c r="T265" s="120"/>
      <c r="X265" s="120"/>
      <c r="AB265" s="120"/>
      <c r="AF265" s="403"/>
      <c r="AJ265" s="120"/>
    </row>
    <row r="266" spans="4:36" x14ac:dyDescent="0.25">
      <c r="D266" s="120"/>
      <c r="H266" s="120"/>
      <c r="L266" s="120"/>
      <c r="P266" s="120"/>
      <c r="T266" s="120"/>
      <c r="X266" s="120"/>
      <c r="AB266" s="120"/>
      <c r="AF266" s="403"/>
      <c r="AJ266" s="120"/>
    </row>
    <row r="267" spans="4:36" x14ac:dyDescent="0.25">
      <c r="D267" s="120"/>
      <c r="H267" s="120"/>
      <c r="L267" s="120"/>
      <c r="P267" s="120"/>
      <c r="T267" s="120"/>
      <c r="X267" s="120"/>
      <c r="AB267" s="120"/>
      <c r="AF267" s="403"/>
      <c r="AJ267" s="120"/>
    </row>
    <row r="268" spans="4:36" x14ac:dyDescent="0.25">
      <c r="D268" s="120"/>
      <c r="H268" s="120"/>
      <c r="L268" s="120"/>
      <c r="P268" s="120"/>
      <c r="T268" s="120"/>
      <c r="X268" s="120"/>
      <c r="AB268" s="120"/>
      <c r="AF268" s="403"/>
      <c r="AJ268" s="120"/>
    </row>
    <row r="269" spans="4:36" x14ac:dyDescent="0.25">
      <c r="D269" s="120"/>
      <c r="H269" s="120"/>
      <c r="L269" s="120"/>
      <c r="P269" s="120"/>
      <c r="T269" s="120"/>
      <c r="X269" s="120"/>
      <c r="AB269" s="120"/>
      <c r="AF269" s="403"/>
      <c r="AJ269" s="120"/>
    </row>
    <row r="270" spans="4:36" x14ac:dyDescent="0.25">
      <c r="D270" s="120"/>
      <c r="H270" s="120"/>
      <c r="L270" s="120"/>
      <c r="P270" s="120"/>
      <c r="T270" s="120"/>
      <c r="X270" s="120"/>
      <c r="AB270" s="120"/>
      <c r="AF270" s="403"/>
      <c r="AJ270" s="120"/>
    </row>
    <row r="271" spans="4:36" x14ac:dyDescent="0.25">
      <c r="D271" s="120"/>
      <c r="H271" s="120"/>
      <c r="L271" s="120"/>
      <c r="P271" s="120"/>
      <c r="T271" s="120"/>
      <c r="X271" s="120"/>
      <c r="AB271" s="120"/>
      <c r="AF271" s="403"/>
      <c r="AJ271" s="120"/>
    </row>
    <row r="272" spans="4:36" x14ac:dyDescent="0.25">
      <c r="D272" s="120"/>
      <c r="H272" s="120"/>
      <c r="L272" s="120"/>
      <c r="P272" s="120"/>
      <c r="T272" s="120"/>
      <c r="X272" s="120"/>
      <c r="AB272" s="120"/>
      <c r="AF272" s="403"/>
      <c r="AJ272" s="120"/>
    </row>
    <row r="273" spans="4:36" x14ac:dyDescent="0.25">
      <c r="D273" s="120"/>
      <c r="H273" s="120"/>
      <c r="L273" s="120"/>
      <c r="P273" s="120"/>
      <c r="T273" s="120"/>
      <c r="X273" s="120"/>
      <c r="AB273" s="120"/>
      <c r="AF273" s="403"/>
      <c r="AJ273" s="120"/>
    </row>
    <row r="274" spans="4:36" x14ac:dyDescent="0.25">
      <c r="D274" s="120"/>
      <c r="H274" s="120"/>
      <c r="L274" s="120"/>
      <c r="P274" s="120"/>
      <c r="T274" s="120"/>
      <c r="X274" s="120"/>
      <c r="AB274" s="120"/>
      <c r="AF274" s="403"/>
      <c r="AJ274" s="120"/>
    </row>
    <row r="275" spans="4:36" x14ac:dyDescent="0.25">
      <c r="D275" s="120"/>
      <c r="H275" s="120"/>
      <c r="L275" s="120"/>
      <c r="P275" s="120"/>
      <c r="T275" s="120"/>
      <c r="X275" s="120"/>
      <c r="AB275" s="120"/>
      <c r="AF275" s="403"/>
      <c r="AJ275" s="120"/>
    </row>
    <row r="276" spans="4:36" x14ac:dyDescent="0.25">
      <c r="D276" s="120"/>
      <c r="H276" s="120"/>
      <c r="L276" s="120"/>
      <c r="P276" s="120"/>
      <c r="T276" s="120"/>
      <c r="X276" s="120"/>
      <c r="AB276" s="120"/>
      <c r="AF276" s="403"/>
      <c r="AJ276" s="120"/>
    </row>
    <row r="277" spans="4:36" x14ac:dyDescent="0.25">
      <c r="D277" s="120"/>
      <c r="H277" s="120"/>
      <c r="L277" s="120"/>
      <c r="P277" s="120"/>
      <c r="T277" s="120"/>
      <c r="X277" s="120"/>
      <c r="AB277" s="120"/>
      <c r="AF277" s="403"/>
      <c r="AJ277" s="120"/>
    </row>
    <row r="278" spans="4:36" x14ac:dyDescent="0.25">
      <c r="D278" s="120"/>
      <c r="H278" s="120"/>
      <c r="L278" s="120"/>
      <c r="P278" s="120"/>
      <c r="T278" s="120"/>
      <c r="X278" s="120"/>
      <c r="AB278" s="120"/>
      <c r="AF278" s="403"/>
      <c r="AJ278" s="120"/>
    </row>
    <row r="279" spans="4:36" x14ac:dyDescent="0.25">
      <c r="D279" s="120"/>
      <c r="H279" s="120"/>
      <c r="L279" s="120"/>
      <c r="P279" s="120"/>
      <c r="T279" s="120"/>
      <c r="X279" s="120"/>
      <c r="AB279" s="120"/>
      <c r="AF279" s="403"/>
      <c r="AJ279" s="120"/>
    </row>
    <row r="280" spans="4:36" x14ac:dyDescent="0.25">
      <c r="D280" s="120"/>
      <c r="H280" s="120"/>
      <c r="L280" s="120"/>
      <c r="P280" s="120"/>
      <c r="T280" s="120"/>
      <c r="X280" s="120"/>
      <c r="AB280" s="120"/>
      <c r="AF280" s="403"/>
      <c r="AJ280" s="120"/>
    </row>
    <row r="281" spans="4:36" x14ac:dyDescent="0.25">
      <c r="D281" s="120"/>
      <c r="H281" s="120"/>
      <c r="L281" s="120"/>
      <c r="P281" s="120"/>
      <c r="T281" s="120"/>
      <c r="X281" s="120"/>
      <c r="AB281" s="120"/>
      <c r="AF281" s="403"/>
      <c r="AJ281" s="120"/>
    </row>
    <row r="282" spans="4:36" x14ac:dyDescent="0.25">
      <c r="D282" s="120"/>
      <c r="H282" s="120"/>
      <c r="L282" s="120"/>
      <c r="P282" s="120"/>
      <c r="T282" s="120"/>
      <c r="X282" s="120"/>
      <c r="AB282" s="120"/>
      <c r="AF282" s="403"/>
      <c r="AJ282" s="120"/>
    </row>
    <row r="283" spans="4:36" x14ac:dyDescent="0.25">
      <c r="D283" s="120"/>
      <c r="H283" s="120"/>
      <c r="L283" s="120"/>
      <c r="P283" s="120"/>
      <c r="T283" s="120"/>
      <c r="X283" s="120"/>
      <c r="AB283" s="120"/>
      <c r="AF283" s="403"/>
      <c r="AJ283" s="120"/>
    </row>
    <row r="284" spans="4:36" x14ac:dyDescent="0.25">
      <c r="D284" s="120"/>
      <c r="H284" s="120"/>
      <c r="L284" s="120"/>
      <c r="P284" s="120"/>
      <c r="T284" s="120"/>
      <c r="X284" s="120"/>
      <c r="AB284" s="120"/>
      <c r="AF284" s="403"/>
      <c r="AJ284" s="120"/>
    </row>
    <row r="285" spans="4:36" x14ac:dyDescent="0.25">
      <c r="D285" s="120"/>
      <c r="H285" s="120"/>
      <c r="L285" s="120"/>
      <c r="P285" s="120"/>
      <c r="T285" s="120"/>
      <c r="X285" s="120"/>
      <c r="AB285" s="120"/>
      <c r="AF285" s="403"/>
      <c r="AJ285" s="120"/>
    </row>
    <row r="286" spans="4:36" x14ac:dyDescent="0.25">
      <c r="D286" s="120"/>
      <c r="H286" s="120"/>
      <c r="L286" s="120"/>
      <c r="P286" s="120"/>
      <c r="T286" s="120"/>
      <c r="X286" s="120"/>
      <c r="AB286" s="120"/>
      <c r="AF286" s="403"/>
      <c r="AJ286" s="120"/>
    </row>
    <row r="287" spans="4:36" x14ac:dyDescent="0.25">
      <c r="D287" s="120"/>
      <c r="H287" s="120"/>
      <c r="L287" s="120"/>
      <c r="P287" s="120"/>
      <c r="T287" s="120"/>
      <c r="X287" s="120"/>
      <c r="AB287" s="120"/>
      <c r="AF287" s="403"/>
      <c r="AJ287" s="120"/>
    </row>
    <row r="288" spans="4:36" x14ac:dyDescent="0.25">
      <c r="D288" s="120"/>
      <c r="H288" s="120"/>
      <c r="L288" s="120"/>
      <c r="P288" s="120"/>
      <c r="T288" s="120"/>
      <c r="X288" s="120"/>
      <c r="AB288" s="120"/>
      <c r="AF288" s="403"/>
      <c r="AJ288" s="120"/>
    </row>
    <row r="289" spans="4:36" x14ac:dyDescent="0.25">
      <c r="D289" s="120"/>
      <c r="H289" s="120"/>
      <c r="L289" s="120"/>
      <c r="P289" s="120"/>
      <c r="T289" s="120"/>
      <c r="X289" s="120"/>
      <c r="AB289" s="120"/>
      <c r="AF289" s="403"/>
      <c r="AJ289" s="120"/>
    </row>
    <row r="290" spans="4:36" x14ac:dyDescent="0.25">
      <c r="D290" s="120"/>
      <c r="H290" s="120"/>
      <c r="L290" s="120"/>
      <c r="P290" s="120"/>
      <c r="T290" s="120"/>
      <c r="X290" s="120"/>
      <c r="AB290" s="120"/>
      <c r="AF290" s="403"/>
      <c r="AJ290" s="120"/>
    </row>
    <row r="291" spans="4:36" x14ac:dyDescent="0.25">
      <c r="D291" s="120"/>
      <c r="H291" s="120"/>
      <c r="L291" s="120"/>
      <c r="P291" s="120"/>
      <c r="T291" s="120"/>
      <c r="X291" s="120"/>
      <c r="AB291" s="120"/>
      <c r="AF291" s="403"/>
      <c r="AJ291" s="120"/>
    </row>
    <row r="292" spans="4:36" x14ac:dyDescent="0.25">
      <c r="D292" s="120"/>
      <c r="H292" s="120"/>
      <c r="L292" s="120"/>
      <c r="P292" s="120"/>
      <c r="T292" s="120"/>
      <c r="X292" s="120"/>
      <c r="AB292" s="120"/>
      <c r="AF292" s="403"/>
      <c r="AJ292" s="120"/>
    </row>
    <row r="293" spans="4:36" x14ac:dyDescent="0.25">
      <c r="D293" s="120"/>
      <c r="H293" s="120"/>
      <c r="L293" s="120"/>
      <c r="P293" s="120"/>
      <c r="T293" s="120"/>
      <c r="X293" s="120"/>
      <c r="AB293" s="120"/>
      <c r="AF293" s="403"/>
      <c r="AJ293" s="120"/>
    </row>
    <row r="294" spans="4:36" x14ac:dyDescent="0.25">
      <c r="D294" s="120"/>
      <c r="H294" s="120"/>
      <c r="L294" s="120"/>
      <c r="P294" s="120"/>
      <c r="T294" s="120"/>
      <c r="X294" s="120"/>
      <c r="AB294" s="120"/>
      <c r="AF294" s="403"/>
      <c r="AJ294" s="120"/>
    </row>
    <row r="295" spans="4:36" x14ac:dyDescent="0.25">
      <c r="D295" s="120"/>
      <c r="H295" s="120"/>
      <c r="L295" s="120"/>
      <c r="P295" s="120"/>
      <c r="T295" s="120"/>
      <c r="X295" s="120"/>
      <c r="AB295" s="120"/>
      <c r="AF295" s="403"/>
      <c r="AJ295" s="120"/>
    </row>
    <row r="296" spans="4:36" x14ac:dyDescent="0.25">
      <c r="D296" s="120"/>
      <c r="H296" s="120"/>
      <c r="L296" s="120"/>
      <c r="P296" s="120"/>
      <c r="T296" s="120"/>
      <c r="X296" s="120"/>
      <c r="AB296" s="120"/>
      <c r="AF296" s="403"/>
      <c r="AJ296" s="120"/>
    </row>
    <row r="297" spans="4:36" x14ac:dyDescent="0.25">
      <c r="D297" s="120"/>
      <c r="H297" s="120"/>
      <c r="L297" s="120"/>
      <c r="P297" s="120"/>
      <c r="T297" s="120"/>
      <c r="X297" s="120"/>
      <c r="AB297" s="120"/>
      <c r="AF297" s="403"/>
      <c r="AJ297" s="120"/>
    </row>
    <row r="298" spans="4:36" x14ac:dyDescent="0.25">
      <c r="D298" s="120"/>
      <c r="H298" s="120"/>
      <c r="L298" s="120"/>
      <c r="P298" s="120"/>
      <c r="T298" s="120"/>
      <c r="X298" s="120"/>
      <c r="AB298" s="120"/>
      <c r="AF298" s="403"/>
      <c r="AJ298" s="120"/>
    </row>
    <row r="299" spans="4:36" x14ac:dyDescent="0.25">
      <c r="D299" s="120"/>
      <c r="H299" s="120"/>
      <c r="L299" s="120"/>
      <c r="P299" s="120"/>
      <c r="T299" s="120"/>
      <c r="X299" s="120"/>
      <c r="AB299" s="120"/>
      <c r="AF299" s="403"/>
      <c r="AJ299" s="120"/>
    </row>
    <row r="300" spans="4:36" x14ac:dyDescent="0.25">
      <c r="D300" s="120"/>
      <c r="H300" s="120"/>
      <c r="L300" s="120"/>
      <c r="P300" s="120"/>
      <c r="T300" s="120"/>
      <c r="X300" s="120"/>
      <c r="AB300" s="120"/>
      <c r="AF300" s="403"/>
      <c r="AJ300" s="120"/>
    </row>
    <row r="301" spans="4:36" x14ac:dyDescent="0.25">
      <c r="D301" s="120"/>
      <c r="H301" s="120"/>
      <c r="L301" s="120"/>
      <c r="P301" s="120"/>
      <c r="T301" s="120"/>
      <c r="X301" s="120"/>
      <c r="AB301" s="120"/>
      <c r="AF301" s="403"/>
      <c r="AJ301" s="120"/>
    </row>
    <row r="302" spans="4:36" x14ac:dyDescent="0.25">
      <c r="D302" s="120"/>
      <c r="H302" s="120"/>
      <c r="L302" s="120"/>
      <c r="P302" s="120"/>
      <c r="T302" s="120"/>
      <c r="X302" s="120"/>
      <c r="AB302" s="120"/>
      <c r="AF302" s="403"/>
      <c r="AJ302" s="120"/>
    </row>
    <row r="303" spans="4:36" x14ac:dyDescent="0.25">
      <c r="D303" s="120"/>
      <c r="H303" s="120"/>
      <c r="L303" s="120"/>
      <c r="P303" s="120"/>
      <c r="T303" s="120"/>
      <c r="X303" s="120"/>
      <c r="AB303" s="120"/>
      <c r="AF303" s="403"/>
      <c r="AJ303" s="120"/>
    </row>
    <row r="304" spans="4:36" x14ac:dyDescent="0.25">
      <c r="D304" s="120"/>
      <c r="H304" s="120"/>
      <c r="L304" s="120"/>
      <c r="P304" s="120"/>
      <c r="T304" s="120"/>
      <c r="X304" s="120"/>
      <c r="AB304" s="120"/>
      <c r="AF304" s="403"/>
      <c r="AJ304" s="120"/>
    </row>
    <row r="305" spans="4:36" x14ac:dyDescent="0.25">
      <c r="D305" s="120"/>
      <c r="H305" s="120"/>
      <c r="L305" s="120"/>
      <c r="P305" s="120"/>
      <c r="T305" s="120"/>
      <c r="X305" s="120"/>
      <c r="AB305" s="120"/>
      <c r="AF305" s="403"/>
      <c r="AJ305" s="120"/>
    </row>
    <row r="306" spans="4:36" x14ac:dyDescent="0.25">
      <c r="D306" s="120"/>
      <c r="H306" s="120"/>
      <c r="L306" s="120"/>
      <c r="P306" s="120"/>
      <c r="T306" s="120"/>
      <c r="X306" s="120"/>
      <c r="AB306" s="120"/>
      <c r="AF306" s="403"/>
      <c r="AJ306" s="120"/>
    </row>
    <row r="307" spans="4:36" x14ac:dyDescent="0.25">
      <c r="D307" s="120"/>
      <c r="H307" s="120"/>
      <c r="L307" s="120"/>
      <c r="P307" s="120"/>
      <c r="T307" s="120"/>
      <c r="X307" s="120"/>
      <c r="AB307" s="120"/>
      <c r="AF307" s="403"/>
      <c r="AJ307" s="120"/>
    </row>
    <row r="308" spans="4:36" x14ac:dyDescent="0.25">
      <c r="D308" s="120"/>
      <c r="H308" s="120"/>
      <c r="L308" s="120"/>
      <c r="P308" s="120"/>
      <c r="T308" s="120"/>
      <c r="X308" s="120"/>
      <c r="AB308" s="120"/>
      <c r="AF308" s="403"/>
      <c r="AJ308" s="120"/>
    </row>
    <row r="309" spans="4:36" x14ac:dyDescent="0.25">
      <c r="D309" s="120"/>
      <c r="H309" s="120"/>
      <c r="L309" s="120"/>
      <c r="P309" s="120"/>
      <c r="T309" s="120"/>
      <c r="X309" s="120"/>
      <c r="AB309" s="120"/>
      <c r="AF309" s="403"/>
      <c r="AJ309" s="120"/>
    </row>
    <row r="310" spans="4:36" x14ac:dyDescent="0.25">
      <c r="D310" s="120"/>
      <c r="H310" s="120"/>
      <c r="L310" s="120"/>
      <c r="P310" s="120"/>
      <c r="T310" s="120"/>
      <c r="X310" s="120"/>
      <c r="AB310" s="120"/>
      <c r="AF310" s="403"/>
      <c r="AJ310" s="120"/>
    </row>
    <row r="311" spans="4:36" x14ac:dyDescent="0.25">
      <c r="D311" s="120"/>
      <c r="H311" s="120"/>
      <c r="L311" s="120"/>
      <c r="P311" s="120"/>
      <c r="T311" s="120"/>
      <c r="X311" s="120"/>
      <c r="AB311" s="120"/>
      <c r="AF311" s="403"/>
      <c r="AJ311" s="120"/>
    </row>
    <row r="312" spans="4:36" x14ac:dyDescent="0.25">
      <c r="D312" s="120"/>
      <c r="H312" s="120"/>
      <c r="L312" s="120"/>
      <c r="P312" s="120"/>
      <c r="T312" s="120"/>
      <c r="X312" s="120"/>
      <c r="AB312" s="120"/>
      <c r="AF312" s="403"/>
      <c r="AJ312" s="120"/>
    </row>
    <row r="313" spans="4:36" x14ac:dyDescent="0.25">
      <c r="D313" s="120"/>
      <c r="H313" s="120"/>
      <c r="L313" s="120"/>
      <c r="P313" s="120"/>
      <c r="T313" s="120"/>
      <c r="X313" s="120"/>
      <c r="AB313" s="120"/>
      <c r="AF313" s="403"/>
      <c r="AJ313" s="120"/>
    </row>
    <row r="314" spans="4:36" x14ac:dyDescent="0.25">
      <c r="D314" s="120"/>
      <c r="H314" s="120"/>
      <c r="L314" s="120"/>
      <c r="P314" s="120"/>
      <c r="T314" s="120"/>
      <c r="X314" s="120"/>
      <c r="AB314" s="120"/>
      <c r="AF314" s="403"/>
      <c r="AJ314" s="120"/>
    </row>
    <row r="315" spans="4:36" x14ac:dyDescent="0.25">
      <c r="D315" s="120"/>
      <c r="H315" s="120"/>
      <c r="L315" s="120"/>
      <c r="P315" s="120"/>
      <c r="T315" s="120"/>
      <c r="X315" s="120"/>
      <c r="AB315" s="120"/>
      <c r="AF315" s="403"/>
      <c r="AJ315" s="120"/>
    </row>
    <row r="316" spans="4:36" x14ac:dyDescent="0.25">
      <c r="D316" s="120"/>
      <c r="H316" s="120"/>
      <c r="L316" s="120"/>
      <c r="P316" s="120"/>
      <c r="T316" s="120"/>
      <c r="X316" s="120"/>
      <c r="AB316" s="120"/>
      <c r="AF316" s="403"/>
      <c r="AJ316" s="120"/>
    </row>
    <row r="317" spans="4:36" x14ac:dyDescent="0.25">
      <c r="D317" s="120"/>
      <c r="H317" s="120"/>
      <c r="L317" s="120"/>
      <c r="P317" s="120"/>
      <c r="T317" s="120"/>
      <c r="X317" s="120"/>
      <c r="AB317" s="120"/>
      <c r="AF317" s="403"/>
      <c r="AJ317" s="120"/>
    </row>
    <row r="318" spans="4:36" x14ac:dyDescent="0.25">
      <c r="D318" s="120"/>
      <c r="H318" s="120"/>
      <c r="L318" s="120"/>
      <c r="P318" s="120"/>
      <c r="T318" s="120"/>
      <c r="X318" s="120"/>
      <c r="AB318" s="120"/>
      <c r="AF318" s="403"/>
      <c r="AJ318" s="120"/>
    </row>
    <row r="319" spans="4:36" x14ac:dyDescent="0.25">
      <c r="D319" s="120"/>
      <c r="H319" s="120"/>
      <c r="L319" s="120"/>
      <c r="P319" s="120"/>
      <c r="T319" s="120"/>
      <c r="X319" s="120"/>
      <c r="AB319" s="120"/>
      <c r="AF319" s="403"/>
      <c r="AJ319" s="120"/>
    </row>
    <row r="320" spans="4:36" x14ac:dyDescent="0.25">
      <c r="D320" s="120"/>
      <c r="H320" s="120"/>
      <c r="L320" s="120"/>
      <c r="P320" s="120"/>
      <c r="T320" s="120"/>
      <c r="X320" s="120"/>
      <c r="AB320" s="120"/>
      <c r="AF320" s="403"/>
      <c r="AJ320" s="120"/>
    </row>
    <row r="321" spans="4:36" x14ac:dyDescent="0.25">
      <c r="D321" s="120"/>
      <c r="H321" s="120"/>
      <c r="L321" s="120"/>
      <c r="P321" s="120"/>
      <c r="T321" s="120"/>
      <c r="X321" s="120"/>
      <c r="AB321" s="120"/>
      <c r="AF321" s="403"/>
      <c r="AJ321" s="120"/>
    </row>
    <row r="322" spans="4:36" x14ac:dyDescent="0.25">
      <c r="D322" s="120"/>
      <c r="H322" s="120"/>
      <c r="L322" s="120"/>
      <c r="P322" s="120"/>
      <c r="T322" s="120"/>
      <c r="X322" s="120"/>
      <c r="AB322" s="120"/>
      <c r="AF322" s="403"/>
      <c r="AJ322" s="120"/>
    </row>
    <row r="323" spans="4:36" x14ac:dyDescent="0.25">
      <c r="D323" s="120"/>
      <c r="H323" s="120"/>
      <c r="L323" s="120"/>
      <c r="P323" s="120"/>
      <c r="T323" s="120"/>
      <c r="X323" s="120"/>
      <c r="AB323" s="120"/>
      <c r="AF323" s="403"/>
      <c r="AJ323" s="120"/>
    </row>
    <row r="324" spans="4:36" x14ac:dyDescent="0.25">
      <c r="D324" s="120"/>
      <c r="H324" s="120"/>
      <c r="L324" s="120"/>
      <c r="P324" s="120"/>
      <c r="T324" s="120"/>
      <c r="X324" s="120"/>
      <c r="AB324" s="120"/>
      <c r="AF324" s="403"/>
      <c r="AJ324" s="120"/>
    </row>
    <row r="325" spans="4:36" x14ac:dyDescent="0.25">
      <c r="D325" s="120"/>
      <c r="H325" s="120"/>
      <c r="L325" s="120"/>
      <c r="P325" s="120"/>
      <c r="T325" s="120"/>
      <c r="X325" s="120"/>
      <c r="AB325" s="120"/>
      <c r="AF325" s="403"/>
      <c r="AJ325" s="120"/>
    </row>
    <row r="326" spans="4:36" x14ac:dyDescent="0.25">
      <c r="D326" s="120"/>
      <c r="H326" s="120"/>
      <c r="L326" s="120"/>
      <c r="P326" s="120"/>
      <c r="T326" s="120"/>
      <c r="X326" s="120"/>
      <c r="AB326" s="120"/>
      <c r="AF326" s="403"/>
      <c r="AJ326" s="120"/>
    </row>
    <row r="327" spans="4:36" x14ac:dyDescent="0.25">
      <c r="D327" s="120"/>
      <c r="H327" s="120"/>
      <c r="L327" s="120"/>
      <c r="P327" s="120"/>
      <c r="T327" s="120"/>
      <c r="X327" s="120"/>
      <c r="AB327" s="120"/>
      <c r="AF327" s="403"/>
      <c r="AJ327" s="120"/>
    </row>
    <row r="328" spans="4:36" x14ac:dyDescent="0.25">
      <c r="D328" s="120"/>
      <c r="H328" s="120"/>
      <c r="L328" s="120"/>
      <c r="P328" s="120"/>
      <c r="T328" s="120"/>
      <c r="X328" s="120"/>
      <c r="AB328" s="120"/>
      <c r="AF328" s="403"/>
      <c r="AJ328" s="120"/>
    </row>
    <row r="329" spans="4:36" x14ac:dyDescent="0.25">
      <c r="D329" s="120"/>
      <c r="H329" s="120"/>
      <c r="L329" s="120"/>
      <c r="P329" s="120"/>
      <c r="T329" s="120"/>
      <c r="X329" s="120"/>
      <c r="AB329" s="120"/>
      <c r="AF329" s="403"/>
      <c r="AJ329" s="120"/>
    </row>
    <row r="330" spans="4:36" x14ac:dyDescent="0.25">
      <c r="D330" s="120"/>
      <c r="H330" s="120"/>
      <c r="L330" s="120"/>
      <c r="P330" s="120"/>
      <c r="T330" s="120"/>
      <c r="X330" s="120"/>
      <c r="AB330" s="120"/>
      <c r="AF330" s="403"/>
      <c r="AJ330" s="120"/>
    </row>
    <row r="331" spans="4:36" x14ac:dyDescent="0.25">
      <c r="D331" s="120"/>
      <c r="H331" s="120"/>
      <c r="L331" s="120"/>
      <c r="P331" s="120"/>
      <c r="T331" s="120"/>
      <c r="X331" s="120"/>
      <c r="AB331" s="120"/>
      <c r="AF331" s="403"/>
      <c r="AJ331" s="120"/>
    </row>
    <row r="332" spans="4:36" x14ac:dyDescent="0.25">
      <c r="D332" s="120"/>
      <c r="H332" s="120"/>
      <c r="L332" s="120"/>
      <c r="P332" s="120"/>
      <c r="T332" s="120"/>
      <c r="X332" s="120"/>
      <c r="AB332" s="120"/>
      <c r="AF332" s="403"/>
      <c r="AJ332" s="120"/>
    </row>
    <row r="333" spans="4:36" x14ac:dyDescent="0.25">
      <c r="D333" s="120"/>
      <c r="H333" s="120"/>
      <c r="L333" s="120"/>
      <c r="P333" s="120"/>
      <c r="T333" s="120"/>
      <c r="X333" s="120"/>
      <c r="AB333" s="120"/>
      <c r="AF333" s="403"/>
      <c r="AJ333" s="120"/>
    </row>
    <row r="334" spans="4:36" x14ac:dyDescent="0.25">
      <c r="D334" s="120"/>
      <c r="H334" s="120"/>
      <c r="L334" s="120"/>
      <c r="P334" s="120"/>
      <c r="T334" s="120"/>
      <c r="X334" s="120"/>
      <c r="AB334" s="120"/>
      <c r="AF334" s="403"/>
      <c r="AJ334" s="120"/>
    </row>
    <row r="335" spans="4:36" x14ac:dyDescent="0.25">
      <c r="D335" s="120"/>
      <c r="H335" s="120"/>
      <c r="L335" s="120"/>
      <c r="P335" s="120"/>
      <c r="T335" s="120"/>
      <c r="X335" s="120"/>
      <c r="AB335" s="120"/>
      <c r="AF335" s="403"/>
      <c r="AJ335" s="120"/>
    </row>
    <row r="336" spans="4:36" x14ac:dyDescent="0.25">
      <c r="D336" s="120"/>
      <c r="H336" s="120"/>
      <c r="L336" s="120"/>
      <c r="P336" s="120"/>
      <c r="T336" s="120"/>
      <c r="X336" s="120"/>
      <c r="AB336" s="120"/>
      <c r="AF336" s="403"/>
      <c r="AJ336" s="120"/>
    </row>
    <row r="337" spans="4:36" x14ac:dyDescent="0.25">
      <c r="D337" s="120"/>
      <c r="H337" s="120"/>
      <c r="L337" s="120"/>
      <c r="P337" s="120"/>
      <c r="T337" s="120"/>
      <c r="X337" s="120"/>
      <c r="AB337" s="120"/>
      <c r="AF337" s="403"/>
      <c r="AJ337" s="120"/>
    </row>
    <row r="338" spans="4:36" x14ac:dyDescent="0.25">
      <c r="D338" s="120"/>
      <c r="H338" s="120"/>
      <c r="L338" s="120"/>
      <c r="P338" s="120"/>
      <c r="T338" s="120"/>
      <c r="X338" s="120"/>
      <c r="AB338" s="120"/>
      <c r="AF338" s="403"/>
      <c r="AJ338" s="120"/>
    </row>
    <row r="339" spans="4:36" x14ac:dyDescent="0.25">
      <c r="D339" s="120"/>
      <c r="H339" s="120"/>
      <c r="L339" s="120"/>
      <c r="P339" s="120"/>
      <c r="T339" s="120"/>
      <c r="X339" s="120"/>
      <c r="AB339" s="120"/>
      <c r="AF339" s="403"/>
      <c r="AJ339" s="120"/>
    </row>
    <row r="340" spans="4:36" x14ac:dyDescent="0.25">
      <c r="D340" s="120"/>
      <c r="H340" s="120"/>
      <c r="L340" s="120"/>
      <c r="P340" s="120"/>
      <c r="T340" s="120"/>
      <c r="X340" s="120"/>
      <c r="AB340" s="120"/>
      <c r="AF340" s="403"/>
      <c r="AJ340" s="120"/>
    </row>
    <row r="341" spans="4:36" x14ac:dyDescent="0.25">
      <c r="D341" s="120"/>
      <c r="H341" s="120"/>
      <c r="L341" s="120"/>
      <c r="P341" s="120"/>
      <c r="T341" s="120"/>
      <c r="X341" s="120"/>
      <c r="AB341" s="120"/>
      <c r="AF341" s="403"/>
      <c r="AJ341" s="120"/>
    </row>
    <row r="342" spans="4:36" x14ac:dyDescent="0.25">
      <c r="D342" s="120"/>
      <c r="H342" s="120"/>
      <c r="L342" s="120"/>
      <c r="P342" s="120"/>
      <c r="T342" s="120"/>
      <c r="X342" s="120"/>
      <c r="AB342" s="120"/>
      <c r="AF342" s="403"/>
      <c r="AJ342" s="120"/>
    </row>
    <row r="343" spans="4:36" x14ac:dyDescent="0.25">
      <c r="D343" s="120"/>
      <c r="H343" s="120"/>
      <c r="L343" s="120"/>
      <c r="P343" s="120"/>
      <c r="T343" s="120"/>
      <c r="X343" s="120"/>
      <c r="AB343" s="120"/>
      <c r="AF343" s="403"/>
      <c r="AJ343" s="120"/>
    </row>
    <row r="344" spans="4:36" x14ac:dyDescent="0.25">
      <c r="D344" s="120"/>
      <c r="H344" s="120"/>
      <c r="L344" s="120"/>
      <c r="P344" s="120"/>
      <c r="T344" s="120"/>
      <c r="X344" s="120"/>
      <c r="AB344" s="120"/>
      <c r="AF344" s="403"/>
      <c r="AJ344" s="120"/>
    </row>
    <row r="345" spans="4:36" x14ac:dyDescent="0.25">
      <c r="D345" s="120"/>
      <c r="H345" s="120"/>
      <c r="L345" s="120"/>
      <c r="P345" s="120"/>
      <c r="T345" s="120"/>
      <c r="X345" s="120"/>
      <c r="AB345" s="120"/>
      <c r="AF345" s="403"/>
      <c r="AJ345" s="120"/>
    </row>
    <row r="346" spans="4:36" x14ac:dyDescent="0.25">
      <c r="D346" s="120"/>
      <c r="H346" s="120"/>
      <c r="L346" s="120"/>
      <c r="P346" s="120"/>
      <c r="T346" s="120"/>
      <c r="X346" s="120"/>
      <c r="AB346" s="120"/>
      <c r="AF346" s="403"/>
      <c r="AJ346" s="120"/>
    </row>
    <row r="347" spans="4:36" x14ac:dyDescent="0.25">
      <c r="D347" s="120"/>
      <c r="H347" s="120"/>
      <c r="L347" s="120"/>
      <c r="P347" s="120"/>
      <c r="T347" s="120"/>
      <c r="X347" s="120"/>
      <c r="AB347" s="120"/>
      <c r="AF347" s="403"/>
      <c r="AJ347" s="120"/>
    </row>
    <row r="348" spans="4:36" x14ac:dyDescent="0.25">
      <c r="D348" s="120"/>
      <c r="H348" s="120"/>
      <c r="L348" s="120"/>
      <c r="P348" s="120"/>
      <c r="T348" s="120"/>
      <c r="X348" s="120"/>
      <c r="AB348" s="120"/>
      <c r="AF348" s="403"/>
      <c r="AJ348" s="120"/>
    </row>
    <row r="349" spans="4:36" x14ac:dyDescent="0.25">
      <c r="D349" s="120"/>
      <c r="H349" s="120"/>
      <c r="L349" s="120"/>
      <c r="P349" s="120"/>
      <c r="T349" s="120"/>
      <c r="X349" s="120"/>
      <c r="AB349" s="120"/>
      <c r="AF349" s="403"/>
      <c r="AJ349" s="120"/>
    </row>
    <row r="350" spans="4:36" x14ac:dyDescent="0.25">
      <c r="D350" s="120"/>
      <c r="H350" s="120"/>
      <c r="L350" s="120"/>
      <c r="P350" s="120"/>
      <c r="T350" s="120"/>
      <c r="X350" s="120"/>
      <c r="AB350" s="120"/>
      <c r="AF350" s="403"/>
      <c r="AJ350" s="120"/>
    </row>
    <row r="351" spans="4:36" x14ac:dyDescent="0.25">
      <c r="D351" s="120"/>
      <c r="H351" s="120"/>
      <c r="L351" s="120"/>
      <c r="P351" s="120"/>
      <c r="T351" s="120"/>
      <c r="X351" s="120"/>
      <c r="AB351" s="120"/>
      <c r="AF351" s="403"/>
      <c r="AJ351" s="120"/>
    </row>
    <row r="352" spans="4:36" x14ac:dyDescent="0.25">
      <c r="D352" s="120"/>
      <c r="H352" s="120"/>
      <c r="L352" s="120"/>
      <c r="P352" s="120"/>
      <c r="T352" s="120"/>
      <c r="X352" s="120"/>
      <c r="AB352" s="120"/>
      <c r="AF352" s="403"/>
      <c r="AJ352" s="120"/>
    </row>
    <row r="353" spans="4:36" x14ac:dyDescent="0.25">
      <c r="D353" s="120"/>
      <c r="H353" s="120"/>
      <c r="L353" s="120"/>
      <c r="P353" s="120"/>
      <c r="T353" s="120"/>
      <c r="X353" s="120"/>
      <c r="AB353" s="120"/>
      <c r="AF353" s="403"/>
      <c r="AJ353" s="120"/>
    </row>
    <row r="354" spans="4:36" x14ac:dyDescent="0.25">
      <c r="D354" s="120"/>
      <c r="H354" s="120"/>
      <c r="L354" s="120"/>
      <c r="P354" s="120"/>
      <c r="T354" s="120"/>
      <c r="X354" s="120"/>
      <c r="AB354" s="120"/>
      <c r="AF354" s="403"/>
      <c r="AJ354" s="120"/>
    </row>
    <row r="355" spans="4:36" x14ac:dyDescent="0.25">
      <c r="D355" s="120"/>
      <c r="H355" s="120"/>
      <c r="L355" s="120"/>
      <c r="P355" s="120"/>
      <c r="T355" s="120"/>
      <c r="X355" s="120"/>
      <c r="AB355" s="120"/>
      <c r="AF355" s="403"/>
      <c r="AJ355" s="120"/>
    </row>
    <row r="356" spans="4:36" x14ac:dyDescent="0.25">
      <c r="D356" s="120"/>
      <c r="H356" s="120"/>
      <c r="L356" s="120"/>
      <c r="P356" s="120"/>
      <c r="T356" s="120"/>
      <c r="X356" s="120"/>
      <c r="AB356" s="120"/>
      <c r="AF356" s="403"/>
      <c r="AJ356" s="120"/>
    </row>
    <row r="357" spans="4:36" x14ac:dyDescent="0.25">
      <c r="D357" s="120"/>
      <c r="H357" s="120"/>
      <c r="L357" s="120"/>
      <c r="P357" s="120"/>
      <c r="T357" s="120"/>
      <c r="X357" s="120"/>
      <c r="AB357" s="120"/>
      <c r="AF357" s="403"/>
      <c r="AJ357" s="120"/>
    </row>
    <row r="358" spans="4:36" x14ac:dyDescent="0.25">
      <c r="D358" s="120"/>
      <c r="H358" s="120"/>
      <c r="L358" s="120"/>
      <c r="P358" s="120"/>
      <c r="T358" s="120"/>
      <c r="X358" s="120"/>
      <c r="AB358" s="120"/>
      <c r="AF358" s="403"/>
      <c r="AJ358" s="120"/>
    </row>
    <row r="359" spans="4:36" x14ac:dyDescent="0.25">
      <c r="D359" s="120"/>
      <c r="H359" s="120"/>
      <c r="L359" s="120"/>
      <c r="P359" s="120"/>
      <c r="T359" s="120"/>
      <c r="X359" s="120"/>
      <c r="AB359" s="120"/>
      <c r="AF359" s="403"/>
      <c r="AJ359" s="120"/>
    </row>
    <row r="360" spans="4:36" x14ac:dyDescent="0.25">
      <c r="D360" s="120"/>
      <c r="H360" s="120"/>
      <c r="L360" s="120"/>
      <c r="P360" s="120"/>
      <c r="T360" s="120"/>
      <c r="X360" s="120"/>
      <c r="AB360" s="120"/>
      <c r="AF360" s="403"/>
      <c r="AJ360" s="120"/>
    </row>
    <row r="361" spans="4:36" x14ac:dyDescent="0.25">
      <c r="D361" s="120"/>
      <c r="H361" s="120"/>
      <c r="L361" s="120"/>
      <c r="P361" s="120"/>
      <c r="T361" s="120"/>
      <c r="X361" s="120"/>
      <c r="AB361" s="120"/>
      <c r="AF361" s="403"/>
      <c r="AJ361" s="120"/>
    </row>
    <row r="362" spans="4:36" x14ac:dyDescent="0.25">
      <c r="D362" s="120"/>
      <c r="H362" s="120"/>
      <c r="L362" s="120"/>
      <c r="P362" s="120"/>
      <c r="T362" s="120"/>
      <c r="X362" s="120"/>
      <c r="AB362" s="120"/>
      <c r="AF362" s="403"/>
      <c r="AJ362" s="120"/>
    </row>
    <row r="363" spans="4:36" x14ac:dyDescent="0.25">
      <c r="D363" s="120"/>
      <c r="H363" s="120"/>
      <c r="L363" s="120"/>
      <c r="P363" s="120"/>
      <c r="T363" s="120"/>
      <c r="X363" s="120"/>
      <c r="AB363" s="120"/>
      <c r="AF363" s="403"/>
      <c r="AJ363" s="120"/>
    </row>
    <row r="364" spans="4:36" x14ac:dyDescent="0.25">
      <c r="D364" s="120"/>
      <c r="H364" s="120"/>
      <c r="L364" s="120"/>
      <c r="P364" s="120"/>
      <c r="T364" s="120"/>
      <c r="X364" s="120"/>
      <c r="AB364" s="120"/>
      <c r="AF364" s="403"/>
      <c r="AJ364" s="120"/>
    </row>
    <row r="365" spans="4:36" x14ac:dyDescent="0.25">
      <c r="D365" s="120"/>
      <c r="H365" s="120"/>
      <c r="L365" s="120"/>
      <c r="P365" s="120"/>
      <c r="T365" s="120"/>
      <c r="X365" s="120"/>
      <c r="AB365" s="120"/>
      <c r="AF365" s="403"/>
      <c r="AJ365" s="120"/>
    </row>
    <row r="366" spans="4:36" x14ac:dyDescent="0.25">
      <c r="D366" s="120"/>
      <c r="H366" s="120"/>
      <c r="L366" s="120"/>
      <c r="P366" s="120"/>
      <c r="T366" s="120"/>
      <c r="X366" s="120"/>
      <c r="AB366" s="120"/>
      <c r="AF366" s="403"/>
      <c r="AJ366" s="120"/>
    </row>
    <row r="367" spans="4:36" x14ac:dyDescent="0.25">
      <c r="D367" s="120"/>
      <c r="H367" s="120"/>
      <c r="L367" s="120"/>
      <c r="P367" s="120"/>
      <c r="T367" s="120"/>
      <c r="X367" s="120"/>
      <c r="AB367" s="120"/>
      <c r="AF367" s="403"/>
      <c r="AJ367" s="120"/>
    </row>
    <row r="368" spans="4:36" x14ac:dyDescent="0.25">
      <c r="D368" s="120"/>
      <c r="H368" s="120"/>
      <c r="L368" s="120"/>
      <c r="P368" s="120"/>
      <c r="T368" s="120"/>
      <c r="X368" s="120"/>
      <c r="AB368" s="120"/>
      <c r="AF368" s="403"/>
      <c r="AJ368" s="120"/>
    </row>
    <row r="369" spans="4:36" x14ac:dyDescent="0.25">
      <c r="D369" s="120"/>
      <c r="H369" s="120"/>
      <c r="L369" s="120"/>
      <c r="P369" s="120"/>
      <c r="T369" s="120"/>
      <c r="X369" s="120"/>
      <c r="AB369" s="120"/>
      <c r="AF369" s="403"/>
      <c r="AJ369" s="120"/>
    </row>
    <row r="370" spans="4:36" x14ac:dyDescent="0.25">
      <c r="D370" s="120"/>
      <c r="H370" s="120"/>
      <c r="L370" s="120"/>
      <c r="P370" s="120"/>
      <c r="T370" s="120"/>
      <c r="X370" s="120"/>
      <c r="AB370" s="120"/>
      <c r="AF370" s="403"/>
      <c r="AJ370" s="120"/>
    </row>
    <row r="371" spans="4:36" x14ac:dyDescent="0.25">
      <c r="D371" s="120"/>
      <c r="H371" s="120"/>
      <c r="L371" s="120"/>
      <c r="P371" s="120"/>
      <c r="T371" s="120"/>
      <c r="X371" s="120"/>
      <c r="AB371" s="120"/>
      <c r="AF371" s="403"/>
      <c r="AJ371" s="120"/>
    </row>
    <row r="372" spans="4:36" x14ac:dyDescent="0.25">
      <c r="D372" s="120"/>
      <c r="H372" s="120"/>
      <c r="L372" s="120"/>
      <c r="P372" s="120"/>
      <c r="T372" s="120"/>
      <c r="X372" s="120"/>
      <c r="AB372" s="120"/>
      <c r="AF372" s="403"/>
      <c r="AJ372" s="120"/>
    </row>
    <row r="373" spans="4:36" x14ac:dyDescent="0.25">
      <c r="D373" s="120"/>
      <c r="H373" s="120"/>
      <c r="L373" s="120"/>
      <c r="P373" s="120"/>
      <c r="T373" s="120"/>
      <c r="X373" s="120"/>
      <c r="AB373" s="120"/>
      <c r="AF373" s="403"/>
      <c r="AJ373" s="120"/>
    </row>
    <row r="374" spans="4:36" x14ac:dyDescent="0.25">
      <c r="D374" s="120"/>
      <c r="H374" s="120"/>
      <c r="L374" s="120"/>
      <c r="P374" s="120"/>
      <c r="T374" s="120"/>
      <c r="X374" s="120"/>
      <c r="AB374" s="120"/>
      <c r="AF374" s="403"/>
      <c r="AJ374" s="120"/>
    </row>
    <row r="375" spans="4:36" x14ac:dyDescent="0.25">
      <c r="D375" s="120"/>
      <c r="H375" s="120"/>
      <c r="L375" s="120"/>
      <c r="P375" s="120"/>
      <c r="T375" s="120"/>
      <c r="X375" s="120"/>
      <c r="AB375" s="120"/>
      <c r="AF375" s="403"/>
      <c r="AJ375" s="120"/>
    </row>
    <row r="376" spans="4:36" x14ac:dyDescent="0.25">
      <c r="D376" s="120"/>
      <c r="H376" s="120"/>
      <c r="L376" s="120"/>
      <c r="P376" s="120"/>
      <c r="T376" s="120"/>
      <c r="X376" s="120"/>
      <c r="AB376" s="120"/>
      <c r="AF376" s="403"/>
      <c r="AJ376" s="120"/>
    </row>
    <row r="377" spans="4:36" x14ac:dyDescent="0.25">
      <c r="D377" s="120"/>
      <c r="H377" s="120"/>
      <c r="L377" s="120"/>
      <c r="P377" s="120"/>
      <c r="T377" s="120"/>
      <c r="X377" s="120"/>
      <c r="AB377" s="120"/>
      <c r="AF377" s="403"/>
      <c r="AJ377" s="120"/>
    </row>
  </sheetData>
  <mergeCells count="10">
    <mergeCell ref="D3:F3"/>
    <mergeCell ref="T3:V3"/>
    <mergeCell ref="X3:Z3"/>
    <mergeCell ref="AB3:AD3"/>
    <mergeCell ref="AN3:AQ3"/>
    <mergeCell ref="AJ3:AL3"/>
    <mergeCell ref="P3:R3"/>
    <mergeCell ref="H3:J3"/>
    <mergeCell ref="L3:N3"/>
    <mergeCell ref="AF3:AH3"/>
  </mergeCells>
  <pageMargins left="0.75" right="0.75" top="1" bottom="1" header="0.5" footer="0.5"/>
  <pageSetup paperSize="5" scale="72" orientation="landscape" r:id="rId1"/>
  <headerFooter alignWithMargins="0">
    <oddHeader>&amp;C&amp;"-,Bold"Proposed Budget &amp; Analysis Report for FY20</oddHeader>
    <oddFooter>&amp;C&amp;D&amp;T&amp;R&amp;A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R383"/>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1.28515625" style="161" customWidth="1"/>
    <col min="4" max="4" width="13.28515625" style="211" hidden="1" customWidth="1"/>
    <col min="5" max="5" width="11.140625" style="211" hidden="1" customWidth="1"/>
    <col min="6" max="6" width="9.28515625" style="211" hidden="1" customWidth="1"/>
    <col min="7" max="7" width="1.5703125" style="213" hidden="1" customWidth="1"/>
    <col min="8" max="8" width="13.28515625" style="211" hidden="1" customWidth="1"/>
    <col min="9" max="9" width="11.140625" style="211" hidden="1" customWidth="1"/>
    <col min="10" max="10" width="9.28515625" style="211" hidden="1" customWidth="1"/>
    <col min="11" max="11" width="1.5703125" style="213" hidden="1" customWidth="1"/>
    <col min="12" max="12" width="13.28515625" style="211" hidden="1" customWidth="1"/>
    <col min="13" max="13" width="11.140625" style="211" hidden="1" customWidth="1"/>
    <col min="14" max="14" width="9.28515625" style="211" hidden="1" customWidth="1"/>
    <col min="15" max="15" width="1.5703125" style="213" hidden="1" customWidth="1"/>
    <col min="16" max="16" width="13.28515625" style="211" hidden="1" customWidth="1"/>
    <col min="17" max="17" width="11.140625" style="211" hidden="1" customWidth="1"/>
    <col min="18" max="18" width="9.28515625" style="211" hidden="1" customWidth="1"/>
    <col min="19" max="19" width="1.5703125" style="213" hidden="1" customWidth="1"/>
    <col min="20" max="20" width="13.28515625" style="161" hidden="1" customWidth="1"/>
    <col min="21" max="21" width="11.140625" style="161" hidden="1" customWidth="1"/>
    <col min="22" max="22" width="9.28515625" style="161" hidden="1" customWidth="1"/>
    <col min="23" max="23" width="1.5703125" style="103" hidden="1" customWidth="1"/>
    <col min="24" max="24" width="11.140625" style="161" hidden="1" customWidth="1"/>
    <col min="25" max="25" width="11.28515625" style="161" hidden="1" customWidth="1"/>
    <col min="26" max="26" width="8.5703125" style="161" hidden="1" customWidth="1"/>
    <col min="27" max="27" width="1.5703125" style="103" hidden="1" customWidth="1"/>
    <col min="28" max="28" width="11.140625" style="161" customWidth="1"/>
    <col min="29" max="29" width="11.28515625" style="161" customWidth="1"/>
    <col min="30" max="30" width="9.140625" style="161" customWidth="1"/>
    <col min="31" max="31" width="1.5703125" style="213" customWidth="1"/>
    <col min="32" max="32" width="11.140625" style="211" hidden="1" customWidth="1"/>
    <col min="33" max="33" width="11.140625" style="211" customWidth="1"/>
    <col min="34" max="34" width="11.28515625" style="211" customWidth="1"/>
    <col min="35" max="35" width="9.140625" style="211" customWidth="1"/>
    <col min="36" max="36" width="1.85546875" style="161" customWidth="1"/>
    <col min="37" max="37" width="11.140625" style="394" customWidth="1"/>
    <col min="38" max="38" width="11.28515625" style="394" customWidth="1"/>
    <col min="39" max="39" width="9.140625" style="394" customWidth="1"/>
    <col min="40" max="40" width="1.5703125" style="397" customWidth="1"/>
    <col min="41" max="41" width="13.5703125" style="104" customWidth="1"/>
    <col min="42" max="42" width="11.140625" style="104" bestFit="1" customWidth="1"/>
    <col min="43" max="43" width="10.5703125" style="161" bestFit="1" customWidth="1"/>
    <col min="44" max="44" width="41.85546875" style="161" customWidth="1"/>
    <col min="45" max="16384" width="9.140625" style="161"/>
  </cols>
  <sheetData>
    <row r="1" spans="1:44" x14ac:dyDescent="0.25">
      <c r="A1" s="399"/>
      <c r="B1" s="399"/>
      <c r="C1" s="4"/>
      <c r="D1" s="397"/>
      <c r="E1" s="399"/>
      <c r="F1" s="399"/>
      <c r="G1" s="399"/>
    </row>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1665</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408</v>
      </c>
      <c r="B6" s="119" t="str">
        <f>MID(A6,14,4)</f>
        <v>5108</v>
      </c>
      <c r="C6" s="161" t="s">
        <v>1721</v>
      </c>
      <c r="D6" s="245">
        <v>17234</v>
      </c>
      <c r="E6" s="245">
        <v>17266.849999999999</v>
      </c>
      <c r="F6" s="216"/>
      <c r="H6" s="245">
        <v>18299</v>
      </c>
      <c r="I6" s="245">
        <v>19197.919999999998</v>
      </c>
      <c r="J6" s="216"/>
      <c r="L6" s="245">
        <v>19496.7</v>
      </c>
      <c r="M6" s="245">
        <v>21799.7</v>
      </c>
      <c r="N6" s="216"/>
      <c r="P6" s="245">
        <v>23085.97</v>
      </c>
      <c r="Q6" s="245">
        <v>23085.919999999998</v>
      </c>
      <c r="R6" s="216"/>
      <c r="T6" s="162">
        <v>24247.94</v>
      </c>
      <c r="U6" s="162">
        <v>24201.45</v>
      </c>
      <c r="V6" s="80"/>
      <c r="X6" s="162">
        <v>26013.46</v>
      </c>
      <c r="Y6" s="162">
        <v>26013.46</v>
      </c>
      <c r="Z6" s="80">
        <v>7.2811133646817031E-2</v>
      </c>
      <c r="AB6" s="162">
        <v>27098.06</v>
      </c>
      <c r="AC6" s="162">
        <v>27098.07</v>
      </c>
      <c r="AD6" s="80">
        <f>(AB6-X6)/X6</f>
        <v>4.169380005581734E-2</v>
      </c>
      <c r="AF6" s="163">
        <v>28303.88</v>
      </c>
      <c r="AG6" s="380">
        <v>30810.53</v>
      </c>
      <c r="AH6" s="245">
        <v>30810.53</v>
      </c>
      <c r="AI6" s="216">
        <f>(AG6-AB6)/AB6</f>
        <v>0.13700132038972521</v>
      </c>
      <c r="AJ6" s="80"/>
      <c r="AK6" s="398">
        <v>32491.37</v>
      </c>
      <c r="AL6" s="398">
        <v>15561</v>
      </c>
      <c r="AM6" s="396">
        <f>(AK6-AG6)/AG6</f>
        <v>5.4554076155132684E-2</v>
      </c>
      <c r="AO6" s="163">
        <f>'FY20 Payroll Schedule'!J28</f>
        <v>34369.524000000005</v>
      </c>
      <c r="AP6" s="245">
        <f>AO6-AK6</f>
        <v>1878.1540000000059</v>
      </c>
      <c r="AQ6" s="396">
        <f>(AO6-AK6)/AK6</f>
        <v>5.7804703218116253E-2</v>
      </c>
      <c r="AR6" s="400" t="s">
        <v>1746</v>
      </c>
    </row>
    <row r="7" spans="1:44" s="394" customFormat="1" x14ac:dyDescent="0.25">
      <c r="A7" s="395" t="s">
        <v>1749</v>
      </c>
      <c r="B7" s="395">
        <v>5142</v>
      </c>
      <c r="C7" s="394" t="s">
        <v>1455</v>
      </c>
      <c r="D7" s="398"/>
      <c r="E7" s="398"/>
      <c r="F7" s="396"/>
      <c r="G7" s="397"/>
      <c r="H7" s="398"/>
      <c r="I7" s="398"/>
      <c r="J7" s="396"/>
      <c r="K7" s="397"/>
      <c r="L7" s="398"/>
      <c r="M7" s="398"/>
      <c r="N7" s="396"/>
      <c r="O7" s="397"/>
      <c r="P7" s="398"/>
      <c r="Q7" s="398"/>
      <c r="R7" s="396"/>
      <c r="S7" s="397"/>
      <c r="T7" s="398"/>
      <c r="U7" s="398"/>
      <c r="V7" s="396"/>
      <c r="W7" s="397"/>
      <c r="X7" s="398"/>
      <c r="Y7" s="398"/>
      <c r="Z7" s="396"/>
      <c r="AA7" s="397"/>
      <c r="AB7" s="398"/>
      <c r="AC7" s="398"/>
      <c r="AD7" s="396"/>
      <c r="AE7" s="397"/>
      <c r="AF7" s="163"/>
      <c r="AG7" s="380"/>
      <c r="AH7" s="398"/>
      <c r="AI7" s="396"/>
      <c r="AJ7" s="396"/>
      <c r="AK7" s="398">
        <v>0</v>
      </c>
      <c r="AL7" s="398"/>
      <c r="AM7" s="396"/>
      <c r="AN7" s="397"/>
      <c r="AO7" s="163">
        <f>'FY20 Payroll Schedule'!K28</f>
        <v>343.69524000000007</v>
      </c>
      <c r="AP7" s="398">
        <f>AO7-AK7</f>
        <v>343.69524000000007</v>
      </c>
      <c r="AQ7" s="396"/>
      <c r="AR7" s="400"/>
    </row>
    <row r="8" spans="1:44" s="114" customFormat="1" x14ac:dyDescent="0.25">
      <c r="A8" s="224"/>
      <c r="B8" s="224"/>
      <c r="C8" s="224" t="s">
        <v>26</v>
      </c>
      <c r="D8" s="225">
        <f>SUM(D6)</f>
        <v>17234</v>
      </c>
      <c r="E8" s="225">
        <f>SUM(E6)</f>
        <v>17266.849999999999</v>
      </c>
      <c r="F8" s="226">
        <v>6.5500000000000003E-2</v>
      </c>
      <c r="G8" s="224"/>
      <c r="H8" s="225">
        <f>SUM(H6)</f>
        <v>18299</v>
      </c>
      <c r="I8" s="225">
        <f>SUM(I6)</f>
        <v>19197.919999999998</v>
      </c>
      <c r="J8" s="226">
        <v>6.5500000000000003E-2</v>
      </c>
      <c r="K8" s="224"/>
      <c r="L8" s="225">
        <f>SUM(L6)</f>
        <v>19496.7</v>
      </c>
      <c r="M8" s="225">
        <f>SUM(M6)</f>
        <v>21799.7</v>
      </c>
      <c r="N8" s="226">
        <v>6.5500000000000003E-2</v>
      </c>
      <c r="O8" s="224"/>
      <c r="P8" s="225">
        <f>SUM(P6)</f>
        <v>23085.97</v>
      </c>
      <c r="Q8" s="225">
        <f>SUM(Q6)</f>
        <v>23085.919999999998</v>
      </c>
      <c r="R8" s="226">
        <v>6.5500000000000003E-2</v>
      </c>
      <c r="S8" s="224"/>
      <c r="T8" s="225">
        <f>SUM(T6)</f>
        <v>24247.94</v>
      </c>
      <c r="U8" s="225">
        <f>SUM(U6)</f>
        <v>24201.45</v>
      </c>
      <c r="V8" s="226">
        <v>6.5500000000000003E-2</v>
      </c>
      <c r="W8" s="224"/>
      <c r="X8" s="225">
        <f>SUM(X6)</f>
        <v>26013.46</v>
      </c>
      <c r="Y8" s="225">
        <f>SUM(Y6)</f>
        <v>26013.46</v>
      </c>
      <c r="Z8" s="226">
        <f>(X8-T8)/T8</f>
        <v>7.2811133646817031E-2</v>
      </c>
      <c r="AA8" s="224"/>
      <c r="AB8" s="225">
        <f>SUM(AB6)</f>
        <v>27098.06</v>
      </c>
      <c r="AC8" s="225">
        <f>SUM(AC6)</f>
        <v>27098.07</v>
      </c>
      <c r="AD8" s="226">
        <f>(AB8-X8)/X8</f>
        <v>4.169380005581734E-2</v>
      </c>
      <c r="AE8" s="224"/>
      <c r="AF8" s="225">
        <f>SUM(AF6)</f>
        <v>28303.88</v>
      </c>
      <c r="AG8" s="382">
        <f>SUM(AG6)</f>
        <v>30810.53</v>
      </c>
      <c r="AH8" s="225">
        <f>SUM(AH6)</f>
        <v>30810.53</v>
      </c>
      <c r="AI8" s="226">
        <f t="shared" ref="AI8:AI24" si="0">(AG8-AB8)/AB8</f>
        <v>0.13700132038972521</v>
      </c>
      <c r="AJ8" s="226"/>
      <c r="AK8" s="225">
        <f>SUM(AK6)</f>
        <v>32491.37</v>
      </c>
      <c r="AL8" s="225">
        <f>SUM(AL6)</f>
        <v>15561</v>
      </c>
      <c r="AM8" s="226">
        <f>(AK8-AG8)/AG8</f>
        <v>5.4554076155132684E-2</v>
      </c>
      <c r="AN8" s="224"/>
      <c r="AO8" s="225">
        <f>SUM(AO6:AO7)</f>
        <v>34713.219240000006</v>
      </c>
      <c r="AP8" s="225">
        <f>SUM(AP6:AP7)</f>
        <v>2221.8492400000059</v>
      </c>
      <c r="AQ8" s="226">
        <f>(AO8-AK8)/AK8</f>
        <v>6.8382750250297442E-2</v>
      </c>
      <c r="AR8" s="224" t="s">
        <v>6</v>
      </c>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P9" s="112"/>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P10" s="112"/>
      <c r="AQ10" s="396"/>
      <c r="AR10" s="111"/>
    </row>
    <row r="11" spans="1:44" ht="14.25" x14ac:dyDescent="0.3">
      <c r="A11" s="161" t="s">
        <v>409</v>
      </c>
      <c r="B11" s="119" t="str">
        <f t="shared" ref="B11:B23" si="1">MID(A11,14,4)</f>
        <v>5303</v>
      </c>
      <c r="C11" s="161" t="s">
        <v>1495</v>
      </c>
      <c r="D11" s="245">
        <v>500</v>
      </c>
      <c r="E11" s="245">
        <v>0</v>
      </c>
      <c r="F11" s="216"/>
      <c r="H11" s="245">
        <v>400</v>
      </c>
      <c r="I11" s="245">
        <v>0</v>
      </c>
      <c r="J11" s="216"/>
      <c r="L11" s="245">
        <v>400</v>
      </c>
      <c r="M11" s="245">
        <v>90</v>
      </c>
      <c r="N11" s="216"/>
      <c r="P11" s="245">
        <v>400</v>
      </c>
      <c r="Q11" s="245">
        <v>0</v>
      </c>
      <c r="R11" s="216"/>
      <c r="T11" s="245">
        <v>400</v>
      </c>
      <c r="U11" s="245">
        <v>0</v>
      </c>
      <c r="V11" s="216"/>
      <c r="W11" s="213"/>
      <c r="X11" s="245">
        <v>400</v>
      </c>
      <c r="Y11" s="245">
        <v>0</v>
      </c>
      <c r="Z11" s="216">
        <v>0</v>
      </c>
      <c r="AA11" s="213"/>
      <c r="AB11" s="245">
        <v>400</v>
      </c>
      <c r="AC11" s="245">
        <v>0</v>
      </c>
      <c r="AD11" s="216">
        <f t="shared" ref="AD11:AD23" si="2">(AB11-X11)/X11</f>
        <v>0</v>
      </c>
      <c r="AF11" s="383">
        <v>400</v>
      </c>
      <c r="AG11" s="383">
        <v>400</v>
      </c>
      <c r="AH11" s="245">
        <v>0</v>
      </c>
      <c r="AI11" s="216">
        <f t="shared" si="0"/>
        <v>0</v>
      </c>
      <c r="AJ11" s="80"/>
      <c r="AK11" s="398">
        <v>400</v>
      </c>
      <c r="AL11" s="398">
        <v>0</v>
      </c>
      <c r="AM11" s="396">
        <f>(AK11-AG11)/AG11</f>
        <v>0</v>
      </c>
      <c r="AO11" s="164">
        <v>400</v>
      </c>
      <c r="AP11" s="398">
        <f t="shared" ref="AP11:AP23" si="3">AO11-AK11</f>
        <v>0</v>
      </c>
      <c r="AQ11" s="396">
        <f>(AO11-AK11)/AK11</f>
        <v>0</v>
      </c>
      <c r="AR11" s="156" t="s">
        <v>1181</v>
      </c>
    </row>
    <row r="12" spans="1:44" ht="14.25" x14ac:dyDescent="0.3">
      <c r="A12" s="161" t="s">
        <v>410</v>
      </c>
      <c r="B12" s="119" t="str">
        <f t="shared" si="1"/>
        <v>5305</v>
      </c>
      <c r="C12" s="161" t="s">
        <v>1722</v>
      </c>
      <c r="D12" s="245">
        <v>4000</v>
      </c>
      <c r="E12" s="245">
        <v>4147</v>
      </c>
      <c r="F12" s="216"/>
      <c r="H12" s="245">
        <v>3500</v>
      </c>
      <c r="I12" s="245">
        <v>5908.15</v>
      </c>
      <c r="J12" s="216"/>
      <c r="L12" s="245">
        <v>3500</v>
      </c>
      <c r="M12" s="245">
        <v>1462.27</v>
      </c>
      <c r="N12" s="216"/>
      <c r="P12" s="245">
        <v>3500</v>
      </c>
      <c r="Q12" s="245">
        <v>829.46</v>
      </c>
      <c r="R12" s="216"/>
      <c r="T12" s="245">
        <v>3500</v>
      </c>
      <c r="U12" s="245">
        <v>415.68</v>
      </c>
      <c r="V12" s="216"/>
      <c r="W12" s="213"/>
      <c r="X12" s="245">
        <v>3500</v>
      </c>
      <c r="Y12" s="245">
        <v>2009</v>
      </c>
      <c r="Z12" s="216">
        <v>0</v>
      </c>
      <c r="AA12" s="213"/>
      <c r="AB12" s="245">
        <v>3500</v>
      </c>
      <c r="AC12" s="245">
        <v>1053.5</v>
      </c>
      <c r="AD12" s="216">
        <f t="shared" si="2"/>
        <v>0</v>
      </c>
      <c r="AF12" s="245">
        <v>3500</v>
      </c>
      <c r="AG12" s="245">
        <v>3500</v>
      </c>
      <c r="AH12" s="245">
        <v>245</v>
      </c>
      <c r="AI12" s="216">
        <f t="shared" si="0"/>
        <v>0</v>
      </c>
      <c r="AJ12" s="80"/>
      <c r="AK12" s="398">
        <v>3500</v>
      </c>
      <c r="AL12" s="398">
        <v>147</v>
      </c>
      <c r="AM12" s="396">
        <f>(AK12-AG12)/AG12</f>
        <v>0</v>
      </c>
      <c r="AO12" s="164">
        <v>3500</v>
      </c>
      <c r="AP12" s="398">
        <f t="shared" si="3"/>
        <v>0</v>
      </c>
      <c r="AQ12" s="396">
        <f>(AO12-AK12)/AK12</f>
        <v>0</v>
      </c>
      <c r="AR12" s="156" t="s">
        <v>935</v>
      </c>
    </row>
    <row r="13" spans="1:44" ht="14.25" x14ac:dyDescent="0.3">
      <c r="A13" s="161" t="s">
        <v>411</v>
      </c>
      <c r="B13" s="119" t="str">
        <f t="shared" si="1"/>
        <v>5306</v>
      </c>
      <c r="C13" s="161" t="s">
        <v>1599</v>
      </c>
      <c r="D13" s="245">
        <v>500</v>
      </c>
      <c r="E13" s="245">
        <v>406.5</v>
      </c>
      <c r="F13" s="216"/>
      <c r="H13" s="245">
        <v>400</v>
      </c>
      <c r="I13" s="245">
        <v>166</v>
      </c>
      <c r="J13" s="216"/>
      <c r="L13" s="245">
        <v>400</v>
      </c>
      <c r="M13" s="245">
        <v>275.10000000000002</v>
      </c>
      <c r="N13" s="216"/>
      <c r="P13" s="245">
        <v>400</v>
      </c>
      <c r="Q13" s="245">
        <v>104.3</v>
      </c>
      <c r="R13" s="216"/>
      <c r="T13" s="245">
        <v>400</v>
      </c>
      <c r="U13" s="245">
        <v>118.3</v>
      </c>
      <c r="V13" s="216"/>
      <c r="W13" s="213"/>
      <c r="X13" s="245">
        <v>400</v>
      </c>
      <c r="Y13" s="245">
        <v>301.7</v>
      </c>
      <c r="Z13" s="216">
        <v>0</v>
      </c>
      <c r="AA13" s="213"/>
      <c r="AB13" s="245">
        <v>400</v>
      </c>
      <c r="AC13" s="245">
        <v>637.70000000000005</v>
      </c>
      <c r="AD13" s="216">
        <f t="shared" si="2"/>
        <v>0</v>
      </c>
      <c r="AF13" s="245">
        <v>400</v>
      </c>
      <c r="AG13" s="245">
        <v>400</v>
      </c>
      <c r="AH13" s="245">
        <v>105</v>
      </c>
      <c r="AI13" s="216">
        <f t="shared" si="0"/>
        <v>0</v>
      </c>
      <c r="AJ13" s="80"/>
      <c r="AK13" s="398">
        <v>400</v>
      </c>
      <c r="AL13" s="398">
        <v>465.5</v>
      </c>
      <c r="AM13" s="396">
        <f>(AK13-AG13)/AG13</f>
        <v>0</v>
      </c>
      <c r="AO13" s="164">
        <v>400</v>
      </c>
      <c r="AP13" s="398">
        <f t="shared" si="3"/>
        <v>0</v>
      </c>
      <c r="AQ13" s="396">
        <f>(AO13-AK13)/AK13</f>
        <v>0</v>
      </c>
      <c r="AR13" s="156" t="s">
        <v>936</v>
      </c>
    </row>
    <row r="14" spans="1:44" ht="14.25" x14ac:dyDescent="0.3">
      <c r="A14" s="161" t="s">
        <v>412</v>
      </c>
      <c r="B14" s="119" t="str">
        <f t="shared" si="1"/>
        <v>5314</v>
      </c>
      <c r="C14" s="161" t="s">
        <v>1743</v>
      </c>
      <c r="D14" s="245">
        <v>500</v>
      </c>
      <c r="E14" s="245">
        <v>0</v>
      </c>
      <c r="F14" s="216"/>
      <c r="H14" s="245">
        <v>400</v>
      </c>
      <c r="I14" s="245">
        <v>0</v>
      </c>
      <c r="J14" s="216"/>
      <c r="L14" s="245">
        <v>400</v>
      </c>
      <c r="M14" s="245">
        <v>0</v>
      </c>
      <c r="N14" s="216"/>
      <c r="P14" s="245">
        <v>400</v>
      </c>
      <c r="Q14" s="245">
        <v>0</v>
      </c>
      <c r="R14" s="216"/>
      <c r="T14" s="245">
        <v>400</v>
      </c>
      <c r="U14" s="245">
        <v>0</v>
      </c>
      <c r="V14" s="216"/>
      <c r="W14" s="213"/>
      <c r="X14" s="245">
        <v>400</v>
      </c>
      <c r="Y14" s="245">
        <v>0</v>
      </c>
      <c r="Z14" s="216">
        <v>0</v>
      </c>
      <c r="AA14" s="213"/>
      <c r="AB14" s="245">
        <v>400</v>
      </c>
      <c r="AC14" s="245">
        <v>0</v>
      </c>
      <c r="AD14" s="216">
        <f t="shared" si="2"/>
        <v>0</v>
      </c>
      <c r="AF14" s="245">
        <v>400</v>
      </c>
      <c r="AG14" s="245">
        <v>400</v>
      </c>
      <c r="AH14" s="398">
        <v>400</v>
      </c>
      <c r="AI14" s="216">
        <f t="shared" si="0"/>
        <v>0</v>
      </c>
      <c r="AJ14" s="80"/>
      <c r="AK14" s="398">
        <v>400</v>
      </c>
      <c r="AL14" s="398">
        <v>0</v>
      </c>
      <c r="AM14" s="396">
        <f>(AK14-AG14)/AG14</f>
        <v>0</v>
      </c>
      <c r="AO14" s="164">
        <v>400</v>
      </c>
      <c r="AP14" s="398">
        <f t="shared" si="3"/>
        <v>0</v>
      </c>
      <c r="AQ14" s="396">
        <f>(AO14-AK14)/AK14</f>
        <v>0</v>
      </c>
      <c r="AR14" s="156"/>
    </row>
    <row r="15" spans="1:44" s="211" customFormat="1" ht="14.25" hidden="1" x14ac:dyDescent="0.3">
      <c r="A15" s="214" t="s">
        <v>1392</v>
      </c>
      <c r="B15" s="214" t="str">
        <f>MID(A15,14,4)</f>
        <v>5317</v>
      </c>
      <c r="C15" s="211" t="s">
        <v>1744</v>
      </c>
      <c r="D15" s="245">
        <v>2000</v>
      </c>
      <c r="E15" s="245">
        <v>0</v>
      </c>
      <c r="F15" s="216"/>
      <c r="G15" s="213"/>
      <c r="H15" s="245">
        <v>1800</v>
      </c>
      <c r="I15" s="245">
        <v>0</v>
      </c>
      <c r="J15" s="216"/>
      <c r="K15" s="213"/>
      <c r="L15" s="245">
        <v>0</v>
      </c>
      <c r="M15" s="245">
        <v>0</v>
      </c>
      <c r="N15" s="216"/>
      <c r="O15" s="213"/>
      <c r="P15" s="245">
        <v>0</v>
      </c>
      <c r="Q15" s="245">
        <v>0</v>
      </c>
      <c r="R15" s="216"/>
      <c r="S15" s="213"/>
      <c r="T15" s="245">
        <v>0</v>
      </c>
      <c r="U15" s="245">
        <v>0</v>
      </c>
      <c r="V15" s="216"/>
      <c r="W15" s="213"/>
      <c r="X15" s="245">
        <v>0</v>
      </c>
      <c r="Y15" s="245">
        <v>0</v>
      </c>
      <c r="Z15" s="216"/>
      <c r="AA15" s="213"/>
      <c r="AB15" s="245">
        <v>0</v>
      </c>
      <c r="AC15" s="245">
        <v>0</v>
      </c>
      <c r="AD15" s="216"/>
      <c r="AE15" s="213"/>
      <c r="AF15" s="245"/>
      <c r="AG15" s="245"/>
      <c r="AH15" s="398"/>
      <c r="AI15" s="216"/>
      <c r="AJ15" s="216"/>
      <c r="AK15" s="398">
        <v>0</v>
      </c>
      <c r="AL15" s="398"/>
      <c r="AM15" s="396"/>
      <c r="AN15" s="397"/>
      <c r="AO15" s="291"/>
      <c r="AP15" s="398">
        <f t="shared" si="3"/>
        <v>0</v>
      </c>
      <c r="AQ15" s="396"/>
      <c r="AR15" s="156"/>
    </row>
    <row r="16" spans="1:44" s="211" customFormat="1" ht="14.25" hidden="1" x14ac:dyDescent="0.3">
      <c r="A16" s="214" t="s">
        <v>1393</v>
      </c>
      <c r="B16" s="214" t="str">
        <f>MID(A16,14,4)</f>
        <v>5319</v>
      </c>
      <c r="C16" s="211" t="s">
        <v>1745</v>
      </c>
      <c r="D16" s="245">
        <v>300</v>
      </c>
      <c r="E16" s="245">
        <v>0</v>
      </c>
      <c r="F16" s="216"/>
      <c r="G16" s="213"/>
      <c r="H16" s="245">
        <v>300</v>
      </c>
      <c r="I16" s="245">
        <v>0</v>
      </c>
      <c r="J16" s="216"/>
      <c r="K16" s="213"/>
      <c r="L16" s="245">
        <v>0</v>
      </c>
      <c r="M16" s="245">
        <v>0</v>
      </c>
      <c r="N16" s="216"/>
      <c r="O16" s="213"/>
      <c r="P16" s="245">
        <v>0</v>
      </c>
      <c r="Q16" s="245">
        <v>0</v>
      </c>
      <c r="R16" s="216"/>
      <c r="S16" s="213"/>
      <c r="T16" s="245">
        <v>0</v>
      </c>
      <c r="U16" s="245">
        <v>0</v>
      </c>
      <c r="V16" s="216"/>
      <c r="W16" s="213"/>
      <c r="X16" s="245">
        <v>0</v>
      </c>
      <c r="Y16" s="245">
        <v>0</v>
      </c>
      <c r="Z16" s="216"/>
      <c r="AA16" s="213"/>
      <c r="AB16" s="245">
        <v>0</v>
      </c>
      <c r="AC16" s="245">
        <v>0</v>
      </c>
      <c r="AD16" s="216"/>
      <c r="AE16" s="213"/>
      <c r="AF16" s="245"/>
      <c r="AG16" s="245"/>
      <c r="AH16" s="398"/>
      <c r="AI16" s="216"/>
      <c r="AJ16" s="216"/>
      <c r="AK16" s="398">
        <v>0</v>
      </c>
      <c r="AL16" s="398"/>
      <c r="AM16" s="396"/>
      <c r="AN16" s="397"/>
      <c r="AO16" s="291"/>
      <c r="AP16" s="398">
        <f t="shared" si="3"/>
        <v>0</v>
      </c>
      <c r="AQ16" s="396"/>
      <c r="AR16" s="156"/>
    </row>
    <row r="17" spans="1:44" ht="14.25" x14ac:dyDescent="0.3">
      <c r="A17" s="161" t="s">
        <v>413</v>
      </c>
      <c r="B17" s="119" t="str">
        <f t="shared" si="1"/>
        <v>5343</v>
      </c>
      <c r="C17" s="161" t="s">
        <v>1723</v>
      </c>
      <c r="D17" s="245">
        <v>1000</v>
      </c>
      <c r="E17" s="245">
        <v>0</v>
      </c>
      <c r="F17" s="216"/>
      <c r="H17" s="245">
        <v>1000</v>
      </c>
      <c r="I17" s="245">
        <v>0</v>
      </c>
      <c r="J17" s="216"/>
      <c r="L17" s="245">
        <v>500</v>
      </c>
      <c r="M17" s="245">
        <v>0</v>
      </c>
      <c r="N17" s="216"/>
      <c r="P17" s="245">
        <v>500</v>
      </c>
      <c r="Q17" s="245">
        <v>0</v>
      </c>
      <c r="R17" s="216"/>
      <c r="T17" s="245">
        <v>500</v>
      </c>
      <c r="U17" s="245">
        <v>0</v>
      </c>
      <c r="V17" s="216"/>
      <c r="W17" s="213"/>
      <c r="X17" s="245">
        <v>500</v>
      </c>
      <c r="Y17" s="245">
        <v>0</v>
      </c>
      <c r="Z17" s="216">
        <v>0</v>
      </c>
      <c r="AA17" s="213"/>
      <c r="AB17" s="245">
        <v>500</v>
      </c>
      <c r="AC17" s="245">
        <v>0</v>
      </c>
      <c r="AD17" s="216">
        <f t="shared" si="2"/>
        <v>0</v>
      </c>
      <c r="AF17" s="245">
        <v>500</v>
      </c>
      <c r="AG17" s="245">
        <v>500</v>
      </c>
      <c r="AH17" s="398">
        <v>508.5</v>
      </c>
      <c r="AI17" s="216">
        <f t="shared" si="0"/>
        <v>0</v>
      </c>
      <c r="AJ17" s="80"/>
      <c r="AK17" s="398">
        <v>500</v>
      </c>
      <c r="AL17" s="398">
        <v>0</v>
      </c>
      <c r="AM17" s="396">
        <f t="shared" ref="AM17:AM23" si="4">(AK17-AG17)/AG17</f>
        <v>0</v>
      </c>
      <c r="AO17" s="164">
        <v>500</v>
      </c>
      <c r="AP17" s="398">
        <f t="shared" si="3"/>
        <v>0</v>
      </c>
      <c r="AQ17" s="396">
        <f t="shared" ref="AQ17:AQ23" si="5">(AO17-AK17)/AK17</f>
        <v>0</v>
      </c>
      <c r="AR17" s="156" t="s">
        <v>937</v>
      </c>
    </row>
    <row r="18" spans="1:44" ht="57" x14ac:dyDescent="0.3">
      <c r="A18" s="161" t="s">
        <v>414</v>
      </c>
      <c r="B18" s="119" t="str">
        <f t="shared" si="1"/>
        <v>5344</v>
      </c>
      <c r="C18" s="161" t="s">
        <v>1601</v>
      </c>
      <c r="D18" s="245">
        <v>350</v>
      </c>
      <c r="E18" s="245">
        <v>59.41</v>
      </c>
      <c r="F18" s="216"/>
      <c r="H18" s="245">
        <v>350</v>
      </c>
      <c r="I18" s="245">
        <v>14.56</v>
      </c>
      <c r="J18" s="216"/>
      <c r="L18" s="245">
        <v>350</v>
      </c>
      <c r="M18" s="245">
        <v>504.04</v>
      </c>
      <c r="N18" s="216"/>
      <c r="P18" s="245">
        <v>350</v>
      </c>
      <c r="Q18" s="245">
        <v>5.0599999999999996</v>
      </c>
      <c r="R18" s="216"/>
      <c r="T18" s="245">
        <v>350</v>
      </c>
      <c r="U18" s="245">
        <v>136.75</v>
      </c>
      <c r="V18" s="216"/>
      <c r="W18" s="213"/>
      <c r="X18" s="245">
        <v>350</v>
      </c>
      <c r="Y18" s="245">
        <v>1.96</v>
      </c>
      <c r="Z18" s="216">
        <v>0</v>
      </c>
      <c r="AA18" s="213"/>
      <c r="AB18" s="245">
        <v>350</v>
      </c>
      <c r="AC18" s="245">
        <v>80.83</v>
      </c>
      <c r="AD18" s="216">
        <f t="shared" si="2"/>
        <v>0</v>
      </c>
      <c r="AF18" s="245">
        <v>350</v>
      </c>
      <c r="AG18" s="245">
        <v>350</v>
      </c>
      <c r="AH18" s="245">
        <v>315.76</v>
      </c>
      <c r="AI18" s="216">
        <f t="shared" si="0"/>
        <v>0</v>
      </c>
      <c r="AJ18" s="80"/>
      <c r="AK18" s="398">
        <v>350</v>
      </c>
      <c r="AL18" s="398">
        <v>6.67</v>
      </c>
      <c r="AM18" s="396">
        <f t="shared" si="4"/>
        <v>0</v>
      </c>
      <c r="AO18" s="164">
        <v>320</v>
      </c>
      <c r="AP18" s="398">
        <f t="shared" si="3"/>
        <v>-30</v>
      </c>
      <c r="AQ18" s="396">
        <f t="shared" si="5"/>
        <v>-8.5714285714285715E-2</v>
      </c>
      <c r="AR18" s="513" t="s">
        <v>2022</v>
      </c>
    </row>
    <row r="19" spans="1:44" ht="14.25" x14ac:dyDescent="0.3">
      <c r="A19" s="161" t="s">
        <v>415</v>
      </c>
      <c r="B19" s="119" t="str">
        <f t="shared" si="1"/>
        <v>5399</v>
      </c>
      <c r="C19" s="161" t="s">
        <v>1602</v>
      </c>
      <c r="D19" s="245">
        <v>50</v>
      </c>
      <c r="E19" s="245">
        <v>0</v>
      </c>
      <c r="F19" s="216"/>
      <c r="H19" s="245">
        <v>50</v>
      </c>
      <c r="I19" s="245">
        <v>0</v>
      </c>
      <c r="J19" s="216"/>
      <c r="L19" s="245">
        <v>50</v>
      </c>
      <c r="M19" s="245">
        <v>0</v>
      </c>
      <c r="N19" s="216"/>
      <c r="P19" s="245">
        <v>50</v>
      </c>
      <c r="Q19" s="245">
        <v>0</v>
      </c>
      <c r="R19" s="216"/>
      <c r="T19" s="245">
        <v>50</v>
      </c>
      <c r="U19" s="245">
        <v>0</v>
      </c>
      <c r="V19" s="216"/>
      <c r="W19" s="213"/>
      <c r="X19" s="245">
        <v>50</v>
      </c>
      <c r="Y19" s="245">
        <v>0</v>
      </c>
      <c r="Z19" s="216">
        <v>0</v>
      </c>
      <c r="AA19" s="213"/>
      <c r="AB19" s="245">
        <v>50</v>
      </c>
      <c r="AC19" s="245">
        <v>0</v>
      </c>
      <c r="AD19" s="216">
        <f t="shared" si="2"/>
        <v>0</v>
      </c>
      <c r="AF19" s="245">
        <v>50</v>
      </c>
      <c r="AG19" s="245">
        <v>50</v>
      </c>
      <c r="AH19" s="245">
        <v>50</v>
      </c>
      <c r="AI19" s="216">
        <f t="shared" si="0"/>
        <v>0</v>
      </c>
      <c r="AJ19" s="80"/>
      <c r="AK19" s="398">
        <v>50</v>
      </c>
      <c r="AL19" s="398">
        <v>0</v>
      </c>
      <c r="AM19" s="396">
        <f t="shared" si="4"/>
        <v>0</v>
      </c>
      <c r="AO19" s="164">
        <v>50</v>
      </c>
      <c r="AP19" s="398">
        <f t="shared" si="3"/>
        <v>0</v>
      </c>
      <c r="AQ19" s="396">
        <f t="shared" si="5"/>
        <v>0</v>
      </c>
      <c r="AR19" s="156"/>
    </row>
    <row r="20" spans="1:44" ht="14.25" x14ac:dyDescent="0.3">
      <c r="A20" s="161" t="s">
        <v>416</v>
      </c>
      <c r="B20" s="119" t="str">
        <f t="shared" si="1"/>
        <v>5420</v>
      </c>
      <c r="C20" s="161" t="s">
        <v>1480</v>
      </c>
      <c r="D20" s="245">
        <v>200</v>
      </c>
      <c r="E20" s="245">
        <v>74</v>
      </c>
      <c r="F20" s="216"/>
      <c r="H20" s="245">
        <v>200</v>
      </c>
      <c r="I20" s="245">
        <v>9.99</v>
      </c>
      <c r="J20" s="216"/>
      <c r="L20" s="245">
        <v>100</v>
      </c>
      <c r="M20" s="245">
        <v>27.74</v>
      </c>
      <c r="N20" s="216"/>
      <c r="P20" s="245">
        <v>100</v>
      </c>
      <c r="Q20" s="245">
        <v>7.5</v>
      </c>
      <c r="R20" s="216"/>
      <c r="T20" s="245">
        <v>100</v>
      </c>
      <c r="U20" s="245">
        <v>17.059999999999999</v>
      </c>
      <c r="V20" s="216"/>
      <c r="W20" s="213"/>
      <c r="X20" s="245">
        <v>100</v>
      </c>
      <c r="Y20" s="245">
        <v>12.98</v>
      </c>
      <c r="Z20" s="216">
        <v>0</v>
      </c>
      <c r="AA20" s="213"/>
      <c r="AB20" s="245">
        <v>100</v>
      </c>
      <c r="AC20" s="245">
        <v>36.72</v>
      </c>
      <c r="AD20" s="216">
        <f t="shared" si="2"/>
        <v>0</v>
      </c>
      <c r="AF20" s="245">
        <v>100</v>
      </c>
      <c r="AG20" s="245">
        <v>100</v>
      </c>
      <c r="AH20" s="245">
        <v>0</v>
      </c>
      <c r="AI20" s="216">
        <f t="shared" si="0"/>
        <v>0</v>
      </c>
      <c r="AJ20" s="80"/>
      <c r="AK20" s="398">
        <v>100</v>
      </c>
      <c r="AL20" s="398">
        <v>0</v>
      </c>
      <c r="AM20" s="396">
        <f t="shared" si="4"/>
        <v>0</v>
      </c>
      <c r="AO20" s="164">
        <v>100</v>
      </c>
      <c r="AP20" s="398">
        <f t="shared" si="3"/>
        <v>0</v>
      </c>
      <c r="AQ20" s="396">
        <f t="shared" si="5"/>
        <v>0</v>
      </c>
      <c r="AR20" s="156"/>
    </row>
    <row r="21" spans="1:44" ht="14.25" x14ac:dyDescent="0.3">
      <c r="A21" s="161" t="s">
        <v>417</v>
      </c>
      <c r="B21" s="119" t="str">
        <f t="shared" si="1"/>
        <v>5589</v>
      </c>
      <c r="C21" s="161" t="s">
        <v>1604</v>
      </c>
      <c r="D21" s="245">
        <v>50</v>
      </c>
      <c r="E21" s="245">
        <v>29.88</v>
      </c>
      <c r="F21" s="216"/>
      <c r="H21" s="245">
        <v>50</v>
      </c>
      <c r="I21" s="245">
        <v>0</v>
      </c>
      <c r="J21" s="216"/>
      <c r="L21" s="245">
        <v>50</v>
      </c>
      <c r="M21" s="245">
        <v>0</v>
      </c>
      <c r="N21" s="216"/>
      <c r="P21" s="245">
        <v>50</v>
      </c>
      <c r="Q21" s="245">
        <v>0</v>
      </c>
      <c r="R21" s="216"/>
      <c r="T21" s="245">
        <v>50</v>
      </c>
      <c r="U21" s="245">
        <v>0</v>
      </c>
      <c r="V21" s="216"/>
      <c r="W21" s="213"/>
      <c r="X21" s="245">
        <v>50</v>
      </c>
      <c r="Y21" s="245">
        <v>0</v>
      </c>
      <c r="Z21" s="216">
        <v>0</v>
      </c>
      <c r="AA21" s="213"/>
      <c r="AB21" s="245">
        <v>50</v>
      </c>
      <c r="AC21" s="245">
        <v>45.95</v>
      </c>
      <c r="AD21" s="216">
        <f t="shared" si="2"/>
        <v>0</v>
      </c>
      <c r="AF21" s="245">
        <v>50</v>
      </c>
      <c r="AG21" s="245">
        <v>50</v>
      </c>
      <c r="AH21" s="245">
        <v>0</v>
      </c>
      <c r="AI21" s="216">
        <f t="shared" si="0"/>
        <v>0</v>
      </c>
      <c r="AJ21" s="80"/>
      <c r="AK21" s="398">
        <v>50</v>
      </c>
      <c r="AL21" s="398">
        <v>0</v>
      </c>
      <c r="AM21" s="396">
        <f t="shared" si="4"/>
        <v>0</v>
      </c>
      <c r="AO21" s="164">
        <v>50</v>
      </c>
      <c r="AP21" s="398">
        <f t="shared" si="3"/>
        <v>0</v>
      </c>
      <c r="AQ21" s="396">
        <f t="shared" si="5"/>
        <v>0</v>
      </c>
      <c r="AR21" s="156"/>
    </row>
    <row r="22" spans="1:44" ht="14.25" x14ac:dyDescent="0.3">
      <c r="A22" s="161" t="s">
        <v>418</v>
      </c>
      <c r="B22" s="119" t="str">
        <f t="shared" si="1"/>
        <v>5710</v>
      </c>
      <c r="C22" s="161" t="s">
        <v>1605</v>
      </c>
      <c r="D22" s="245">
        <v>450</v>
      </c>
      <c r="E22" s="245">
        <v>527.9</v>
      </c>
      <c r="F22" s="216"/>
      <c r="H22" s="245">
        <v>350</v>
      </c>
      <c r="I22" s="245">
        <v>0</v>
      </c>
      <c r="J22" s="216"/>
      <c r="L22" s="245">
        <v>350</v>
      </c>
      <c r="M22" s="245">
        <v>0</v>
      </c>
      <c r="N22" s="216"/>
      <c r="P22" s="245">
        <v>350</v>
      </c>
      <c r="Q22" s="245">
        <v>0</v>
      </c>
      <c r="R22" s="216"/>
      <c r="T22" s="245">
        <v>350</v>
      </c>
      <c r="U22" s="245">
        <v>0</v>
      </c>
      <c r="V22" s="216"/>
      <c r="W22" s="213"/>
      <c r="X22" s="245">
        <v>350</v>
      </c>
      <c r="Y22" s="245">
        <v>0</v>
      </c>
      <c r="Z22" s="216">
        <v>0</v>
      </c>
      <c r="AA22" s="213"/>
      <c r="AB22" s="245">
        <v>350</v>
      </c>
      <c r="AC22" s="245">
        <v>0</v>
      </c>
      <c r="AD22" s="216">
        <f t="shared" si="2"/>
        <v>0</v>
      </c>
      <c r="AF22" s="245">
        <v>350</v>
      </c>
      <c r="AG22" s="245">
        <v>350</v>
      </c>
      <c r="AH22" s="245">
        <v>0</v>
      </c>
      <c r="AI22" s="216">
        <f t="shared" si="0"/>
        <v>0</v>
      </c>
      <c r="AJ22" s="80"/>
      <c r="AK22" s="398">
        <v>350</v>
      </c>
      <c r="AL22" s="398">
        <v>0</v>
      </c>
      <c r="AM22" s="396">
        <f t="shared" si="4"/>
        <v>0</v>
      </c>
      <c r="AO22" s="164">
        <v>350</v>
      </c>
      <c r="AP22" s="398">
        <f t="shared" si="3"/>
        <v>0</v>
      </c>
      <c r="AQ22" s="396">
        <f t="shared" si="5"/>
        <v>0</v>
      </c>
      <c r="AR22" s="156" t="s">
        <v>938</v>
      </c>
    </row>
    <row r="23" spans="1:44" ht="28.5" x14ac:dyDescent="0.3">
      <c r="A23" s="161" t="s">
        <v>419</v>
      </c>
      <c r="B23" s="119" t="str">
        <f t="shared" si="1"/>
        <v>5730</v>
      </c>
      <c r="C23" s="161" t="s">
        <v>1594</v>
      </c>
      <c r="D23" s="245">
        <v>80</v>
      </c>
      <c r="E23" s="245">
        <v>0</v>
      </c>
      <c r="F23" s="216"/>
      <c r="H23" s="245">
        <v>80</v>
      </c>
      <c r="I23" s="245">
        <v>0</v>
      </c>
      <c r="J23" s="216"/>
      <c r="L23" s="245">
        <v>80</v>
      </c>
      <c r="M23" s="245">
        <v>0</v>
      </c>
      <c r="N23" s="216"/>
      <c r="P23" s="245">
        <v>80</v>
      </c>
      <c r="Q23" s="245">
        <v>0</v>
      </c>
      <c r="R23" s="216"/>
      <c r="T23" s="245">
        <v>80</v>
      </c>
      <c r="U23" s="245">
        <v>0</v>
      </c>
      <c r="V23" s="216"/>
      <c r="W23" s="213"/>
      <c r="X23" s="245">
        <v>80</v>
      </c>
      <c r="Y23" s="245">
        <v>0</v>
      </c>
      <c r="Z23" s="216">
        <v>0</v>
      </c>
      <c r="AA23" s="213"/>
      <c r="AB23" s="245">
        <v>80</v>
      </c>
      <c r="AC23" s="245">
        <v>0</v>
      </c>
      <c r="AD23" s="216">
        <f t="shared" si="2"/>
        <v>0</v>
      </c>
      <c r="AF23" s="245">
        <v>80</v>
      </c>
      <c r="AG23" s="245">
        <v>80</v>
      </c>
      <c r="AH23" s="245">
        <v>0</v>
      </c>
      <c r="AI23" s="216">
        <f t="shared" si="0"/>
        <v>0</v>
      </c>
      <c r="AJ23" s="80"/>
      <c r="AK23" s="398">
        <v>80</v>
      </c>
      <c r="AL23" s="398">
        <v>0</v>
      </c>
      <c r="AM23" s="396">
        <f t="shared" si="4"/>
        <v>0</v>
      </c>
      <c r="AO23" s="164">
        <v>110</v>
      </c>
      <c r="AP23" s="398">
        <f t="shared" si="3"/>
        <v>30</v>
      </c>
      <c r="AQ23" s="396">
        <f t="shared" si="5"/>
        <v>0.375</v>
      </c>
      <c r="AR23" s="513" t="s">
        <v>2021</v>
      </c>
    </row>
    <row r="24" spans="1:44" s="114" customFormat="1" x14ac:dyDescent="0.25">
      <c r="A24" s="219"/>
      <c r="B24" s="219"/>
      <c r="C24" s="219" t="s">
        <v>279</v>
      </c>
      <c r="D24" s="220">
        <f>SUM(D11:D23)</f>
        <v>9980</v>
      </c>
      <c r="E24" s="220">
        <f>SUM(E11:E23)</f>
        <v>5244.69</v>
      </c>
      <c r="F24" s="221">
        <v>-0.30409999999999998</v>
      </c>
      <c r="G24" s="219"/>
      <c r="H24" s="220">
        <f>SUM(H11:H23)</f>
        <v>8880</v>
      </c>
      <c r="I24" s="220">
        <f>SUM(I11:I23)</f>
        <v>6098.7</v>
      </c>
      <c r="J24" s="221">
        <v>-0.30409999999999998</v>
      </c>
      <c r="K24" s="219"/>
      <c r="L24" s="220">
        <f>SUM(L11:L23)</f>
        <v>6180</v>
      </c>
      <c r="M24" s="220">
        <f>SUM(M11:M23)</f>
        <v>2359.1499999999996</v>
      </c>
      <c r="N24" s="221">
        <v>-0.30409999999999998</v>
      </c>
      <c r="O24" s="219"/>
      <c r="P24" s="220">
        <f>SUM(P11:P23)</f>
        <v>6180</v>
      </c>
      <c r="Q24" s="220">
        <f>SUM(Q11:Q23)</f>
        <v>946.31999999999994</v>
      </c>
      <c r="R24" s="221">
        <v>-0.30409999999999998</v>
      </c>
      <c r="S24" s="219"/>
      <c r="T24" s="220">
        <f>SUM(T11:T23)</f>
        <v>6180</v>
      </c>
      <c r="U24" s="220">
        <f>SUM(U11:U23)</f>
        <v>687.79</v>
      </c>
      <c r="V24" s="221">
        <v>-0.30409999999999998</v>
      </c>
      <c r="W24" s="219"/>
      <c r="X24" s="220">
        <f>SUM(X11:X23)</f>
        <v>6180</v>
      </c>
      <c r="Y24" s="220">
        <f>SUM(Y11:Y23)</f>
        <v>2325.64</v>
      </c>
      <c r="Z24" s="222">
        <f>(X24-T24)/T24</f>
        <v>0</v>
      </c>
      <c r="AA24" s="219"/>
      <c r="AB24" s="220">
        <f>SUM(AB11:AB23)</f>
        <v>6180</v>
      </c>
      <c r="AC24" s="220">
        <f>SUM(AC11:AC23)</f>
        <v>1854.7</v>
      </c>
      <c r="AD24" s="221">
        <f>(AB24-X24)/X24</f>
        <v>0</v>
      </c>
      <c r="AE24" s="219"/>
      <c r="AF24" s="220">
        <f>SUM(AF11:AF23)</f>
        <v>6180</v>
      </c>
      <c r="AG24" s="220">
        <f>SUM(AG11:AG23)</f>
        <v>6180</v>
      </c>
      <c r="AH24" s="220">
        <f>SUM(AH11:AH23)</f>
        <v>1624.26</v>
      </c>
      <c r="AI24" s="221">
        <f t="shared" si="0"/>
        <v>0</v>
      </c>
      <c r="AJ24" s="221"/>
      <c r="AK24" s="401">
        <f>SUM(AK11:AK23)</f>
        <v>6180</v>
      </c>
      <c r="AL24" s="401">
        <f>SUM(AL11:AL23)</f>
        <v>619.16999999999996</v>
      </c>
      <c r="AM24" s="221">
        <f>(AK24-AG24)/AG24</f>
        <v>0</v>
      </c>
      <c r="AN24" s="219"/>
      <c r="AO24" s="220">
        <f>SUM(AO11:AO23)</f>
        <v>6180</v>
      </c>
      <c r="AP24" s="220">
        <f>SUM(AP11:AP23)</f>
        <v>0</v>
      </c>
      <c r="AQ24" s="221">
        <f>(AO24-AK24)/AK24</f>
        <v>0</v>
      </c>
      <c r="AR24" s="219"/>
    </row>
    <row r="25" spans="1:44" s="211" customFormat="1" x14ac:dyDescent="0.25">
      <c r="D25" s="112"/>
      <c r="E25" s="112"/>
      <c r="F25" s="216"/>
      <c r="G25" s="213"/>
      <c r="H25" s="112"/>
      <c r="I25" s="112"/>
      <c r="J25" s="216"/>
      <c r="K25" s="213"/>
      <c r="L25" s="112"/>
      <c r="M25" s="112"/>
      <c r="N25" s="216"/>
      <c r="O25" s="213"/>
      <c r="P25" s="112"/>
      <c r="Q25" s="112"/>
      <c r="R25" s="216"/>
      <c r="S25" s="213"/>
      <c r="T25" s="112"/>
      <c r="U25" s="112"/>
      <c r="V25" s="216"/>
      <c r="W25" s="213"/>
      <c r="X25" s="112"/>
      <c r="Y25" s="112"/>
      <c r="Z25" s="216"/>
      <c r="AA25" s="213"/>
      <c r="AB25" s="112"/>
      <c r="AC25" s="112"/>
      <c r="AD25" s="216"/>
      <c r="AE25" s="213"/>
      <c r="AF25" s="112"/>
      <c r="AG25" s="112"/>
      <c r="AH25" s="112"/>
      <c r="AI25" s="216"/>
      <c r="AJ25" s="216"/>
      <c r="AK25" s="112"/>
      <c r="AL25" s="112"/>
      <c r="AM25" s="396"/>
      <c r="AN25" s="397"/>
      <c r="AO25" s="112"/>
      <c r="AP25" s="112"/>
      <c r="AQ25" s="396"/>
    </row>
    <row r="26" spans="1:44" s="114" customFormat="1" ht="12.75" x14ac:dyDescent="0.2">
      <c r="A26" s="228"/>
      <c r="B26" s="228"/>
      <c r="C26" s="233" t="s">
        <v>280</v>
      </c>
      <c r="D26" s="230">
        <f>D8+D24</f>
        <v>27214</v>
      </c>
      <c r="E26" s="230">
        <f>E8+E24</f>
        <v>22511.539999999997</v>
      </c>
      <c r="F26" s="231">
        <v>-5.5300000000000002E-2</v>
      </c>
      <c r="G26" s="228"/>
      <c r="H26" s="230">
        <f>H8+H24</f>
        <v>27179</v>
      </c>
      <c r="I26" s="230">
        <f>I8+I24</f>
        <v>25296.62</v>
      </c>
      <c r="J26" s="231">
        <v>-5.5300000000000002E-2</v>
      </c>
      <c r="K26" s="228"/>
      <c r="L26" s="230">
        <f>L8+L24</f>
        <v>25676.7</v>
      </c>
      <c r="M26" s="230">
        <f>M8+M24</f>
        <v>24158.85</v>
      </c>
      <c r="N26" s="231">
        <v>-5.5300000000000002E-2</v>
      </c>
      <c r="O26" s="228"/>
      <c r="P26" s="230">
        <f>P8+P24</f>
        <v>29265.97</v>
      </c>
      <c r="Q26" s="230">
        <f>Q8+Q24</f>
        <v>24032.239999999998</v>
      </c>
      <c r="R26" s="231">
        <v>-5.5300000000000002E-2</v>
      </c>
      <c r="S26" s="228"/>
      <c r="T26" s="230">
        <f>T8+T24</f>
        <v>30427.94</v>
      </c>
      <c r="U26" s="230">
        <f>U8+U24</f>
        <v>24889.24</v>
      </c>
      <c r="V26" s="231">
        <v>-5.5300000000000002E-2</v>
      </c>
      <c r="W26" s="228"/>
      <c r="X26" s="230">
        <f>X8+X24</f>
        <v>32193.46</v>
      </c>
      <c r="Y26" s="230">
        <f>Y8+Y24</f>
        <v>28339.1</v>
      </c>
      <c r="Z26" s="231">
        <f>(X26-T26)/T26</f>
        <v>5.8022988082663519E-2</v>
      </c>
      <c r="AA26" s="228"/>
      <c r="AB26" s="230">
        <f>AB8+AB24</f>
        <v>33278.06</v>
      </c>
      <c r="AC26" s="230">
        <f>AC8+AC24</f>
        <v>28952.77</v>
      </c>
      <c r="AD26" s="231">
        <f>(AB26-X26)/X26</f>
        <v>3.3690072455709902E-2</v>
      </c>
      <c r="AE26" s="228"/>
      <c r="AF26" s="230">
        <f>AF8+AF24</f>
        <v>34483.880000000005</v>
      </c>
      <c r="AG26" s="382">
        <f>AG8+AG24</f>
        <v>36990.53</v>
      </c>
      <c r="AH26" s="230">
        <f>AH8+AH24</f>
        <v>32434.789999999997</v>
      </c>
      <c r="AI26" s="231">
        <f>(AG26-AB26)/AB26</f>
        <v>0.11155908727852529</v>
      </c>
      <c r="AJ26" s="231"/>
      <c r="AK26" s="402">
        <f>AK8+AK24</f>
        <v>38671.369999999995</v>
      </c>
      <c r="AL26" s="402">
        <f>AL8+AL24</f>
        <v>16180.17</v>
      </c>
      <c r="AM26" s="231">
        <f>(AK26-AG26)/AG26</f>
        <v>4.5439738224891522E-2</v>
      </c>
      <c r="AN26" s="228"/>
      <c r="AO26" s="230">
        <f>AO8+AO24</f>
        <v>40893.219240000006</v>
      </c>
      <c r="AP26" s="402">
        <f>AP8+AP24</f>
        <v>2221.8492400000059</v>
      </c>
      <c r="AQ26" s="231">
        <f>(AO26-AK26)/AK26</f>
        <v>5.7454629613587799E-2</v>
      </c>
      <c r="AR26" s="233"/>
    </row>
    <row r="27" spans="1:44" x14ac:dyDescent="0.25">
      <c r="D27" s="120"/>
      <c r="H27" s="120"/>
      <c r="L27" s="120"/>
      <c r="P27" s="120"/>
      <c r="T27" s="120"/>
      <c r="X27" s="120"/>
      <c r="AB27" s="120"/>
      <c r="AF27" s="120"/>
      <c r="AG27" s="120"/>
      <c r="AK27" s="403"/>
    </row>
    <row r="28" spans="1:44" s="111" customFormat="1" thickBot="1" x14ac:dyDescent="0.25">
      <c r="C28" s="111" t="s">
        <v>281</v>
      </c>
      <c r="D28" s="122"/>
      <c r="E28" s="121">
        <f>D26-E26</f>
        <v>4702.4600000000028</v>
      </c>
      <c r="G28" s="118"/>
      <c r="H28" s="122"/>
      <c r="I28" s="121">
        <f>H26-I26</f>
        <v>1882.380000000001</v>
      </c>
      <c r="K28" s="118"/>
      <c r="L28" s="122"/>
      <c r="M28" s="121">
        <f>L26-M26</f>
        <v>1517.8500000000022</v>
      </c>
      <c r="O28" s="118"/>
      <c r="P28" s="122"/>
      <c r="Q28" s="121">
        <f>P26-Q26</f>
        <v>5233.7300000000032</v>
      </c>
      <c r="S28" s="118"/>
      <c r="T28" s="122"/>
      <c r="U28" s="121">
        <f>T26-U26</f>
        <v>5538.6999999999971</v>
      </c>
      <c r="W28" s="118"/>
      <c r="X28" s="122"/>
      <c r="Y28" s="121">
        <f>X26-Y26</f>
        <v>3854.3600000000006</v>
      </c>
      <c r="AA28" s="118"/>
      <c r="AB28" s="122"/>
      <c r="AC28" s="121">
        <f>AB26-AC26</f>
        <v>4325.2899999999972</v>
      </c>
      <c r="AE28" s="118"/>
      <c r="AF28" s="122"/>
      <c r="AG28" s="122"/>
      <c r="AH28" s="121">
        <f>AG26-AH26</f>
        <v>4555.7400000000016</v>
      </c>
      <c r="AK28" s="122"/>
      <c r="AL28" s="121">
        <f>AK26-AL26</f>
        <v>22491.199999999997</v>
      </c>
      <c r="AN28" s="118"/>
      <c r="AO28" s="123"/>
      <c r="AP28" s="123"/>
    </row>
    <row r="29" spans="1:44" ht="14.25" thickTop="1" x14ac:dyDescent="0.25">
      <c r="A29" s="397"/>
      <c r="B29" s="397"/>
      <c r="C29" s="397"/>
      <c r="D29" s="413"/>
      <c r="E29" s="397"/>
      <c r="F29" s="4"/>
      <c r="G29" s="397"/>
      <c r="H29" s="413"/>
      <c r="I29" s="397"/>
      <c r="J29" s="4"/>
      <c r="K29" s="397"/>
      <c r="L29" s="413"/>
      <c r="M29" s="397"/>
      <c r="N29" s="4"/>
      <c r="O29" s="397"/>
      <c r="P29" s="413"/>
      <c r="Q29" s="397"/>
      <c r="R29" s="4"/>
      <c r="S29" s="397"/>
      <c r="T29" s="413"/>
      <c r="U29" s="397"/>
      <c r="V29" s="4"/>
      <c r="W29" s="397"/>
      <c r="X29" s="413"/>
      <c r="Y29" s="397"/>
      <c r="Z29" s="397"/>
      <c r="AA29" s="397"/>
      <c r="AB29" s="413"/>
      <c r="AC29" s="397"/>
      <c r="AD29" s="397"/>
      <c r="AE29" s="397"/>
      <c r="AF29" s="413"/>
      <c r="AG29" s="413"/>
      <c r="AH29" s="397"/>
      <c r="AI29" s="397"/>
      <c r="AJ29" s="397"/>
      <c r="AK29" s="413"/>
      <c r="AL29" s="397"/>
      <c r="AM29" s="397"/>
      <c r="AO29" s="240" t="s">
        <v>1195</v>
      </c>
      <c r="AP29" s="241"/>
      <c r="AQ29" s="242"/>
      <c r="AR29" s="211"/>
    </row>
    <row r="30" spans="1:44" x14ac:dyDescent="0.25">
      <c r="A30" s="397"/>
      <c r="B30" s="397"/>
      <c r="C30" s="414"/>
      <c r="D30" s="399"/>
      <c r="E30" s="399"/>
      <c r="F30" s="4"/>
      <c r="G30" s="397"/>
      <c r="H30" s="399"/>
      <c r="I30" s="399"/>
      <c r="J30" s="4"/>
      <c r="K30" s="397"/>
      <c r="L30" s="399"/>
      <c r="M30" s="399"/>
      <c r="N30" s="4"/>
      <c r="O30" s="397"/>
      <c r="P30" s="399"/>
      <c r="Q30" s="399"/>
      <c r="R30" s="4"/>
      <c r="S30" s="397"/>
      <c r="T30" s="399"/>
      <c r="U30" s="399"/>
      <c r="V30" s="4"/>
      <c r="W30" s="397"/>
      <c r="X30" s="399"/>
      <c r="Y30" s="399"/>
      <c r="Z30" s="4"/>
      <c r="AA30" s="397"/>
      <c r="AB30" s="399"/>
      <c r="AC30" s="399"/>
      <c r="AD30" s="4"/>
      <c r="AE30" s="397"/>
      <c r="AF30" s="399"/>
      <c r="AG30" s="399"/>
      <c r="AH30" s="399"/>
      <c r="AI30" s="4"/>
      <c r="AJ30" s="4"/>
      <c r="AK30" s="399"/>
      <c r="AL30" s="399"/>
      <c r="AM30" s="4"/>
      <c r="AO30" s="243" t="s">
        <v>313</v>
      </c>
      <c r="AP30" s="5"/>
      <c r="AQ30" s="299">
        <f>AO8*0.0145</f>
        <v>503.3416789800001</v>
      </c>
      <c r="AR30" s="211"/>
    </row>
    <row r="31" spans="1:44" ht="13.5" customHeight="1" x14ac:dyDescent="0.25">
      <c r="A31" s="176"/>
      <c r="B31" s="174"/>
      <c r="C31" s="176"/>
      <c r="D31" s="399"/>
      <c r="E31" s="399"/>
      <c r="F31" s="4"/>
      <c r="G31" s="397"/>
      <c r="H31" s="399"/>
      <c r="I31" s="399"/>
      <c r="J31" s="4"/>
      <c r="K31" s="397"/>
      <c r="L31" s="399"/>
      <c r="M31" s="399"/>
      <c r="N31" s="4"/>
      <c r="O31" s="397"/>
      <c r="P31" s="399"/>
      <c r="Q31" s="399"/>
      <c r="R31" s="4"/>
      <c r="S31" s="397"/>
      <c r="T31" s="399"/>
      <c r="U31" s="399"/>
      <c r="V31" s="4"/>
      <c r="W31" s="397"/>
      <c r="X31" s="399"/>
      <c r="Y31" s="399"/>
      <c r="Z31" s="4"/>
      <c r="AA31" s="397"/>
      <c r="AB31" s="399"/>
      <c r="AC31" s="399"/>
      <c r="AD31" s="4"/>
      <c r="AE31" s="397"/>
      <c r="AF31" s="399"/>
      <c r="AG31" s="399"/>
      <c r="AH31" s="399"/>
      <c r="AI31" s="4"/>
      <c r="AJ31" s="4"/>
      <c r="AK31" s="399"/>
      <c r="AL31" s="399"/>
      <c r="AM31" s="4"/>
      <c r="AO31" s="210" t="s">
        <v>314</v>
      </c>
      <c r="AP31" s="5"/>
      <c r="AQ31" s="299">
        <f>AO8*0.0009</f>
        <v>31.241897316000003</v>
      </c>
      <c r="AR31" s="211"/>
    </row>
    <row r="32" spans="1:44" x14ac:dyDescent="0.25">
      <c r="A32" s="414"/>
      <c r="B32" s="397"/>
      <c r="C32" s="118"/>
      <c r="D32" s="415"/>
      <c r="E32" s="415"/>
      <c r="F32" s="4"/>
      <c r="G32" s="118"/>
      <c r="H32" s="415"/>
      <c r="I32" s="415"/>
      <c r="J32" s="4"/>
      <c r="K32" s="118"/>
      <c r="L32" s="415"/>
      <c r="M32" s="415"/>
      <c r="N32" s="4"/>
      <c r="O32" s="118"/>
      <c r="P32" s="415"/>
      <c r="Q32" s="415"/>
      <c r="R32" s="4"/>
      <c r="S32" s="118"/>
      <c r="T32" s="415"/>
      <c r="U32" s="415"/>
      <c r="V32" s="4"/>
      <c r="W32" s="118"/>
      <c r="X32" s="415"/>
      <c r="Y32" s="415"/>
      <c r="Z32" s="4"/>
      <c r="AA32" s="397"/>
      <c r="AB32" s="399"/>
      <c r="AC32" s="399"/>
      <c r="AD32" s="4"/>
      <c r="AE32" s="397"/>
      <c r="AF32" s="399"/>
      <c r="AG32" s="399"/>
      <c r="AH32" s="399"/>
      <c r="AI32" s="4"/>
      <c r="AJ32" s="4"/>
      <c r="AK32" s="399"/>
      <c r="AL32" s="399"/>
      <c r="AM32" s="4"/>
      <c r="AO32" s="210" t="s">
        <v>315</v>
      </c>
      <c r="AP32" s="5"/>
      <c r="AQ32" s="299">
        <f>AO8*0.003</f>
        <v>104.13965772000002</v>
      </c>
      <c r="AR32" s="211"/>
    </row>
    <row r="33" spans="1:44" x14ac:dyDescent="0.25">
      <c r="A33" s="397"/>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9"/>
      <c r="AC33" s="399"/>
      <c r="AD33" s="4"/>
      <c r="AE33" s="397"/>
      <c r="AF33" s="399"/>
      <c r="AG33" s="399"/>
      <c r="AH33" s="399"/>
      <c r="AI33" s="397"/>
      <c r="AJ33" s="397"/>
      <c r="AK33" s="399"/>
      <c r="AL33" s="399"/>
      <c r="AM33" s="4"/>
      <c r="AO33" s="210" t="s">
        <v>316</v>
      </c>
      <c r="AP33" s="5"/>
      <c r="AQ33" s="299">
        <f>'County Retirement'!G12</f>
        <v>4245.5257125396192</v>
      </c>
      <c r="AR33" s="211"/>
    </row>
    <row r="34" spans="1:44" x14ac:dyDescent="0.25">
      <c r="A34" s="397"/>
      <c r="B34" s="397"/>
      <c r="C34" s="397"/>
      <c r="D34" s="397"/>
      <c r="E34" s="397"/>
      <c r="F34" s="4"/>
      <c r="G34" s="397"/>
      <c r="H34" s="397"/>
      <c r="I34" s="397"/>
      <c r="J34" s="4"/>
      <c r="K34" s="397"/>
      <c r="L34" s="397"/>
      <c r="M34" s="397"/>
      <c r="N34" s="4"/>
      <c r="O34" s="397"/>
      <c r="P34" s="397"/>
      <c r="Q34" s="397"/>
      <c r="R34" s="4"/>
      <c r="S34" s="397"/>
      <c r="T34" s="397"/>
      <c r="U34" s="397"/>
      <c r="V34" s="4"/>
      <c r="W34" s="397"/>
      <c r="X34" s="397"/>
      <c r="Y34" s="397"/>
      <c r="Z34" s="397"/>
      <c r="AA34" s="397"/>
      <c r="AB34" s="399"/>
      <c r="AC34" s="399"/>
      <c r="AD34" s="4"/>
      <c r="AE34" s="397"/>
      <c r="AF34" s="399"/>
      <c r="AG34" s="399"/>
      <c r="AH34" s="399"/>
      <c r="AI34" s="397"/>
      <c r="AJ34" s="397"/>
      <c r="AK34" s="399"/>
      <c r="AL34" s="399"/>
      <c r="AM34" s="4"/>
      <c r="AO34" s="210" t="s">
        <v>1153</v>
      </c>
      <c r="AP34" s="5"/>
      <c r="AQ34" s="300" t="s">
        <v>1093</v>
      </c>
      <c r="AR34" s="211"/>
    </row>
    <row r="35" spans="1:44" x14ac:dyDescent="0.25">
      <c r="F35" s="216"/>
      <c r="J35" s="216"/>
      <c r="N35" s="216"/>
      <c r="R35" s="216"/>
      <c r="V35" s="80"/>
      <c r="AO35" s="235"/>
      <c r="AP35" s="237"/>
      <c r="AQ35" s="301">
        <f>SUM(AQ30:AQ34)</f>
        <v>4884.2489465556191</v>
      </c>
      <c r="AR35" s="211"/>
    </row>
    <row r="36" spans="1:44" x14ac:dyDescent="0.25">
      <c r="F36" s="216"/>
      <c r="J36" s="216"/>
      <c r="N36" s="216"/>
      <c r="R36" s="216"/>
      <c r="V36" s="80"/>
      <c r="AO36" s="212"/>
      <c r="AP36" s="212"/>
      <c r="AQ36" s="211"/>
      <c r="AR36" s="211"/>
    </row>
    <row r="37" spans="1:44" x14ac:dyDescent="0.25">
      <c r="F37" s="216"/>
      <c r="J37" s="216"/>
      <c r="N37" s="216"/>
      <c r="R37" s="216"/>
      <c r="V37" s="80"/>
      <c r="AO37" s="212"/>
      <c r="AP37" s="212"/>
      <c r="AQ37" s="211"/>
      <c r="AR37" s="211"/>
    </row>
    <row r="38" spans="1:44" x14ac:dyDescent="0.25">
      <c r="D38" s="120"/>
      <c r="F38" s="216"/>
      <c r="H38" s="120"/>
      <c r="J38" s="216"/>
      <c r="L38" s="120"/>
      <c r="N38" s="216"/>
      <c r="P38" s="120"/>
      <c r="R38" s="216"/>
      <c r="T38" s="120"/>
      <c r="V38" s="80"/>
      <c r="X38" s="120"/>
      <c r="AB38" s="120"/>
      <c r="AF38" s="120"/>
      <c r="AG38" s="120"/>
      <c r="AK38" s="403"/>
      <c r="AO38" s="212"/>
      <c r="AP38" s="212"/>
      <c r="AQ38" s="211"/>
      <c r="AR38" s="211"/>
    </row>
    <row r="39" spans="1:44" x14ac:dyDescent="0.25">
      <c r="D39" s="120"/>
      <c r="F39" s="216"/>
      <c r="H39" s="120"/>
      <c r="J39" s="216"/>
      <c r="L39" s="120"/>
      <c r="N39" s="216"/>
      <c r="P39" s="120"/>
      <c r="R39" s="216"/>
      <c r="T39" s="120"/>
      <c r="V39" s="80"/>
      <c r="X39" s="120"/>
      <c r="AB39" s="120"/>
      <c r="AF39" s="120"/>
      <c r="AG39" s="120"/>
      <c r="AK39" s="403"/>
      <c r="AO39" s="131"/>
      <c r="AP39" s="131"/>
      <c r="AQ39" s="211"/>
      <c r="AR39" s="211"/>
    </row>
    <row r="40" spans="1:44" x14ac:dyDescent="0.25">
      <c r="D40" s="120"/>
      <c r="F40" s="216"/>
      <c r="H40" s="120"/>
      <c r="J40" s="216"/>
      <c r="L40" s="120"/>
      <c r="N40" s="216"/>
      <c r="P40" s="120"/>
      <c r="R40" s="216"/>
      <c r="T40" s="120"/>
      <c r="V40" s="80"/>
      <c r="X40" s="120"/>
      <c r="AB40" s="120"/>
      <c r="AF40" s="120"/>
      <c r="AG40" s="120"/>
      <c r="AK40" s="403"/>
      <c r="AO40" s="131"/>
      <c r="AP40" s="131"/>
      <c r="AQ40" s="211"/>
      <c r="AR40" s="211"/>
    </row>
    <row r="41" spans="1:44" x14ac:dyDescent="0.25">
      <c r="D41" s="120"/>
      <c r="H41" s="120"/>
      <c r="L41" s="120"/>
      <c r="P41" s="120"/>
      <c r="T41" s="120"/>
      <c r="X41" s="120"/>
      <c r="AB41" s="120"/>
      <c r="AF41" s="120"/>
      <c r="AG41" s="120"/>
      <c r="AK41" s="403"/>
    </row>
    <row r="42" spans="1:44" x14ac:dyDescent="0.25">
      <c r="D42" s="120"/>
      <c r="H42" s="120"/>
      <c r="L42" s="120"/>
      <c r="P42" s="120"/>
      <c r="T42" s="120"/>
      <c r="X42" s="120"/>
      <c r="AB42" s="120"/>
      <c r="AF42" s="120"/>
      <c r="AG42" s="120"/>
      <c r="AK42" s="403"/>
    </row>
    <row r="43" spans="1:44" x14ac:dyDescent="0.25">
      <c r="D43" s="120"/>
      <c r="H43" s="120"/>
      <c r="L43" s="120"/>
      <c r="P43" s="120"/>
      <c r="T43" s="120"/>
      <c r="X43" s="120"/>
      <c r="AB43" s="120"/>
      <c r="AF43" s="120"/>
      <c r="AG43" s="120"/>
      <c r="AK43" s="403"/>
    </row>
    <row r="44" spans="1:44" x14ac:dyDescent="0.25">
      <c r="D44" s="120"/>
      <c r="H44" s="120"/>
      <c r="L44" s="120"/>
      <c r="P44" s="120"/>
      <c r="T44" s="120"/>
      <c r="X44" s="120"/>
      <c r="AB44" s="120"/>
      <c r="AF44" s="120"/>
      <c r="AG44" s="120"/>
      <c r="AK44" s="403"/>
    </row>
    <row r="45" spans="1:44" x14ac:dyDescent="0.25">
      <c r="D45" s="120"/>
      <c r="H45" s="120"/>
      <c r="L45" s="120"/>
      <c r="P45" s="120"/>
      <c r="T45" s="120"/>
      <c r="X45" s="120"/>
      <c r="AB45" s="120"/>
      <c r="AF45" s="120"/>
      <c r="AG45" s="120"/>
      <c r="AK45" s="403"/>
    </row>
    <row r="46" spans="1:44" x14ac:dyDescent="0.25">
      <c r="D46" s="120"/>
      <c r="H46" s="120"/>
      <c r="L46" s="120"/>
      <c r="P46" s="120"/>
      <c r="T46" s="120"/>
      <c r="X46" s="120"/>
      <c r="AB46" s="120"/>
      <c r="AF46" s="120"/>
      <c r="AG46" s="120"/>
      <c r="AK46" s="403"/>
    </row>
    <row r="47" spans="1:44" x14ac:dyDescent="0.25">
      <c r="D47" s="120"/>
      <c r="H47" s="120"/>
      <c r="L47" s="120"/>
      <c r="P47" s="120"/>
      <c r="T47" s="120"/>
      <c r="X47" s="120"/>
      <c r="AB47" s="120"/>
      <c r="AF47" s="120"/>
      <c r="AG47" s="120"/>
      <c r="AK47" s="403"/>
    </row>
    <row r="48" spans="1:44"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403" t="s">
        <v>1511</v>
      </c>
      <c r="E126" s="211">
        <v>30.35</v>
      </c>
      <c r="F126" s="211">
        <v>25</v>
      </c>
      <c r="G126" s="397"/>
      <c r="H126" s="403"/>
      <c r="I126" s="394"/>
      <c r="J126" s="394"/>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4" orientation="landscape" r:id="rId1"/>
  <headerFooter alignWithMargins="0">
    <oddHeader>&amp;C&amp;"-,Bold"Proposed Budget &amp; Analysis Report for FY20</oddHeader>
    <oddFooter>&amp;C&amp;D&amp;T&amp;R&amp;A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34"/>
  <sheetViews>
    <sheetView zoomScale="60" zoomScaleNormal="60" workbookViewId="0">
      <selection sqref="A1:I1"/>
    </sheetView>
  </sheetViews>
  <sheetFormatPr defaultRowHeight="19.5" x14ac:dyDescent="0.25"/>
  <cols>
    <col min="1" max="1" width="56.7109375" style="59" customWidth="1"/>
    <col min="2" max="3" width="23.7109375" style="59" hidden="1" customWidth="1"/>
    <col min="4" max="4" width="8.140625" style="59" hidden="1" customWidth="1"/>
    <col min="5" max="8" width="23.7109375" style="59" hidden="1" customWidth="1"/>
    <col min="9" max="9" width="23.85546875" style="59" bestFit="1" customWidth="1"/>
    <col min="10" max="11" width="23.42578125" style="59" bestFit="1" customWidth="1"/>
    <col min="12" max="16" width="23.85546875" style="59" bestFit="1" customWidth="1"/>
    <col min="17" max="17" width="23.7109375" style="59" bestFit="1" customWidth="1"/>
    <col min="18" max="18" width="23.85546875" style="59" bestFit="1" customWidth="1"/>
    <col min="19" max="19" width="23.7109375" style="59" bestFit="1" customWidth="1"/>
    <col min="20" max="16384" width="9.140625" style="59"/>
  </cols>
  <sheetData>
    <row r="1" spans="1:19" s="345" customFormat="1" ht="24" x14ac:dyDescent="0.35">
      <c r="A1" s="344" t="s">
        <v>106</v>
      </c>
    </row>
    <row r="2" spans="1:19" s="345" customFormat="1" ht="24" x14ac:dyDescent="0.35">
      <c r="A2" s="344" t="s">
        <v>975</v>
      </c>
    </row>
    <row r="3" spans="1:19" s="345" customFormat="1" ht="24" x14ac:dyDescent="0.35">
      <c r="A3" s="344" t="s">
        <v>1911</v>
      </c>
    </row>
    <row r="4" spans="1:19" ht="24" x14ac:dyDescent="0.35">
      <c r="S4" s="345"/>
    </row>
    <row r="5" spans="1:19" ht="20.25" x14ac:dyDescent="0.3">
      <c r="I5" s="346" t="s">
        <v>1316</v>
      </c>
      <c r="L5" s="346" t="s">
        <v>1316</v>
      </c>
      <c r="M5" s="61"/>
      <c r="N5" s="61"/>
      <c r="O5" s="346" t="s">
        <v>1316</v>
      </c>
      <c r="P5" s="61"/>
      <c r="Q5" s="61"/>
      <c r="R5" s="346" t="s">
        <v>1316</v>
      </c>
      <c r="S5" s="61"/>
    </row>
    <row r="6" spans="1:19" ht="20.25" x14ac:dyDescent="0.3">
      <c r="B6" s="69" t="s">
        <v>1200</v>
      </c>
      <c r="C6" s="69" t="s">
        <v>967</v>
      </c>
      <c r="D6" s="69" t="s">
        <v>965</v>
      </c>
      <c r="E6" s="69" t="s">
        <v>964</v>
      </c>
      <c r="F6" s="69" t="s">
        <v>963</v>
      </c>
      <c r="G6" s="69" t="s">
        <v>184</v>
      </c>
      <c r="H6" s="69" t="s">
        <v>185</v>
      </c>
      <c r="I6" s="389" t="s">
        <v>186</v>
      </c>
      <c r="J6" s="69" t="s">
        <v>187</v>
      </c>
      <c r="K6" s="69" t="s">
        <v>188</v>
      </c>
      <c r="L6" s="389" t="s">
        <v>115</v>
      </c>
      <c r="M6" s="69" t="s">
        <v>114</v>
      </c>
      <c r="N6" s="69" t="s">
        <v>944</v>
      </c>
      <c r="O6" s="389" t="s">
        <v>946</v>
      </c>
      <c r="P6" s="69" t="s">
        <v>1199</v>
      </c>
      <c r="Q6" s="69" t="s">
        <v>1171</v>
      </c>
      <c r="R6" s="389" t="s">
        <v>1274</v>
      </c>
      <c r="S6" s="69" t="s">
        <v>1401</v>
      </c>
    </row>
    <row r="7" spans="1:19" ht="20.25" x14ac:dyDescent="0.3">
      <c r="A7" s="515" t="s">
        <v>183</v>
      </c>
      <c r="B7" s="516">
        <v>1.77</v>
      </c>
      <c r="C7" s="516">
        <v>1.66</v>
      </c>
      <c r="D7" s="516">
        <v>1.83</v>
      </c>
      <c r="E7" s="516">
        <v>1.96</v>
      </c>
      <c r="F7" s="516">
        <v>1.85</v>
      </c>
      <c r="G7" s="516">
        <v>1.87</v>
      </c>
      <c r="H7" s="516">
        <v>1.96</v>
      </c>
      <c r="I7" s="516">
        <v>1.98</v>
      </c>
      <c r="J7" s="516">
        <v>2.0299999999999998</v>
      </c>
      <c r="K7" s="516">
        <v>2.13</v>
      </c>
      <c r="L7" s="516">
        <v>2.08</v>
      </c>
      <c r="M7" s="516">
        <v>2.29</v>
      </c>
      <c r="N7" s="516">
        <v>2.48</v>
      </c>
      <c r="O7" s="516">
        <v>2.63</v>
      </c>
      <c r="P7" s="516">
        <v>2.71</v>
      </c>
      <c r="Q7" s="516">
        <v>2.68</v>
      </c>
      <c r="R7" s="516">
        <v>2.75</v>
      </c>
      <c r="S7" s="70">
        <v>2.88</v>
      </c>
    </row>
    <row r="8" spans="1:19" x14ac:dyDescent="0.25">
      <c r="A8" s="71" t="s">
        <v>107</v>
      </c>
      <c r="B8" s="72"/>
      <c r="C8" s="72">
        <f>C7-B7</f>
        <v>-0.1100000000000001</v>
      </c>
      <c r="D8" s="72">
        <f>D7-C7</f>
        <v>0.17000000000000015</v>
      </c>
      <c r="E8" s="72">
        <f>E7-D7</f>
        <v>0.12999999999999989</v>
      </c>
      <c r="F8" s="72">
        <f>F7-E7</f>
        <v>-0.10999999999999988</v>
      </c>
      <c r="G8" s="72">
        <f>G7-F7</f>
        <v>2.0000000000000018E-2</v>
      </c>
      <c r="H8" s="72">
        <f t="shared" ref="H8:M8" si="0">H7-G7</f>
        <v>8.9999999999999858E-2</v>
      </c>
      <c r="I8" s="72">
        <f t="shared" si="0"/>
        <v>2.0000000000000018E-2</v>
      </c>
      <c r="J8" s="72">
        <f t="shared" si="0"/>
        <v>4.9999999999999822E-2</v>
      </c>
      <c r="K8" s="72">
        <f t="shared" si="0"/>
        <v>0.10000000000000009</v>
      </c>
      <c r="L8" s="72">
        <f t="shared" si="0"/>
        <v>-4.9999999999999822E-2</v>
      </c>
      <c r="M8" s="72">
        <f t="shared" si="0"/>
        <v>0.20999999999999996</v>
      </c>
      <c r="N8" s="72">
        <f t="shared" ref="N8:S8" si="1">N7-M7</f>
        <v>0.18999999999999995</v>
      </c>
      <c r="O8" s="72">
        <f t="shared" si="1"/>
        <v>0.14999999999999991</v>
      </c>
      <c r="P8" s="72">
        <f t="shared" si="1"/>
        <v>8.0000000000000071E-2</v>
      </c>
      <c r="Q8" s="72">
        <f t="shared" si="1"/>
        <v>-2.9999999999999805E-2</v>
      </c>
      <c r="R8" s="72">
        <f t="shared" si="1"/>
        <v>6.999999999999984E-2</v>
      </c>
      <c r="S8" s="72">
        <f t="shared" si="1"/>
        <v>0.12999999999999989</v>
      </c>
    </row>
    <row r="9" spans="1:19" ht="30.75" customHeight="1" x14ac:dyDescent="0.3">
      <c r="A9" s="514" t="s">
        <v>28</v>
      </c>
      <c r="B9" s="517"/>
      <c r="C9" s="517">
        <f>C8/B7</f>
        <v>-6.2146892655367283E-2</v>
      </c>
      <c r="D9" s="517">
        <f>D8/C7</f>
        <v>0.10240963855421696</v>
      </c>
      <c r="E9" s="517">
        <f>E8/D7</f>
        <v>7.1038251366120159E-2</v>
      </c>
      <c r="F9" s="517">
        <f>F8/E7</f>
        <v>-5.6122448979591774E-2</v>
      </c>
      <c r="G9" s="517">
        <f>G8/F7</f>
        <v>1.081081081081082E-2</v>
      </c>
      <c r="H9" s="517">
        <f t="shared" ref="H9:M9" si="2">H8/G7</f>
        <v>4.8128342245989227E-2</v>
      </c>
      <c r="I9" s="517">
        <f t="shared" si="2"/>
        <v>1.0204081632653071E-2</v>
      </c>
      <c r="J9" s="517">
        <f t="shared" si="2"/>
        <v>2.5252525252525162E-2</v>
      </c>
      <c r="K9" s="517">
        <f t="shared" si="2"/>
        <v>4.9261083743842415E-2</v>
      </c>
      <c r="L9" s="517">
        <f t="shared" si="2"/>
        <v>-2.3474178403755788E-2</v>
      </c>
      <c r="M9" s="517">
        <f t="shared" si="2"/>
        <v>0.10096153846153844</v>
      </c>
      <c r="N9" s="517">
        <f t="shared" ref="N9:S9" si="3">N8/M7</f>
        <v>8.2969432314410452E-2</v>
      </c>
      <c r="O9" s="517">
        <f t="shared" si="3"/>
        <v>6.0483870967741903E-2</v>
      </c>
      <c r="P9" s="517">
        <f t="shared" si="3"/>
        <v>3.041825095057037E-2</v>
      </c>
      <c r="Q9" s="517">
        <f t="shared" si="3"/>
        <v>-1.1070110701106939E-2</v>
      </c>
      <c r="R9" s="517">
        <f t="shared" si="3"/>
        <v>2.6119402985074567E-2</v>
      </c>
      <c r="S9" s="517">
        <f t="shared" si="3"/>
        <v>4.7272727272727237E-2</v>
      </c>
    </row>
    <row r="10" spans="1:19" x14ac:dyDescent="0.25">
      <c r="S10" s="190"/>
    </row>
    <row r="11" spans="1:19" x14ac:dyDescent="0.25">
      <c r="S11" s="190"/>
    </row>
    <row r="12" spans="1:19" x14ac:dyDescent="0.25">
      <c r="A12" s="59" t="s">
        <v>969</v>
      </c>
      <c r="B12" s="60">
        <v>2159535500</v>
      </c>
      <c r="C12" s="60">
        <v>2496596500</v>
      </c>
      <c r="D12" s="60">
        <v>2457566600</v>
      </c>
      <c r="E12" s="60">
        <v>2516295600</v>
      </c>
      <c r="F12" s="60">
        <v>2770810100</v>
      </c>
      <c r="G12" s="60">
        <v>2879772500</v>
      </c>
      <c r="H12" s="60">
        <v>2893622500</v>
      </c>
      <c r="I12" s="60">
        <v>3076131500</v>
      </c>
      <c r="J12" s="60">
        <v>3022849900</v>
      </c>
      <c r="K12" s="60">
        <v>3036810500</v>
      </c>
      <c r="L12" s="60">
        <v>3161058500</v>
      </c>
      <c r="M12" s="60">
        <v>3107161500</v>
      </c>
      <c r="N12" s="60">
        <v>3097604570</v>
      </c>
      <c r="O12" s="60">
        <v>3070319990</v>
      </c>
      <c r="P12" s="60">
        <v>3082323870</v>
      </c>
      <c r="Q12" s="60">
        <v>3112415900</v>
      </c>
      <c r="R12" s="60">
        <v>3211367240</v>
      </c>
      <c r="S12" s="191">
        <v>3226319210</v>
      </c>
    </row>
    <row r="13" spans="1:19" x14ac:dyDescent="0.25">
      <c r="A13" s="59" t="s">
        <v>970</v>
      </c>
      <c r="B13" s="63">
        <v>17818968</v>
      </c>
      <c r="C13" s="63">
        <v>19664192</v>
      </c>
      <c r="D13" s="63">
        <v>20441692</v>
      </c>
      <c r="E13" s="63">
        <v>24301450</v>
      </c>
      <c r="F13" s="63">
        <v>23507400</v>
      </c>
      <c r="G13" s="63">
        <v>24843700</v>
      </c>
      <c r="H13" s="63">
        <v>27119950</v>
      </c>
      <c r="I13" s="63">
        <v>30864900</v>
      </c>
      <c r="J13" s="63">
        <v>37734026</v>
      </c>
      <c r="K13" s="63">
        <v>39731600</v>
      </c>
      <c r="L13" s="63">
        <v>35234970</v>
      </c>
      <c r="M13" s="63">
        <v>37139290</v>
      </c>
      <c r="N13" s="63">
        <v>41129206</v>
      </c>
      <c r="O13" s="63">
        <v>44175700</v>
      </c>
      <c r="P13" s="63">
        <v>44632970</v>
      </c>
      <c r="Q13" s="63">
        <v>47043000</v>
      </c>
      <c r="R13" s="63">
        <v>49048750</v>
      </c>
      <c r="S13" s="192">
        <v>49955820</v>
      </c>
    </row>
    <row r="14" spans="1:19" s="65" customFormat="1" ht="20.25" x14ac:dyDescent="0.3">
      <c r="A14" s="186" t="s">
        <v>962</v>
      </c>
      <c r="B14" s="66">
        <f>SUM(B12:B13)</f>
        <v>2177354468</v>
      </c>
      <c r="C14" s="66">
        <f t="shared" ref="C14:S14" si="4">SUM(C12:C13)</f>
        <v>2516260692</v>
      </c>
      <c r="D14" s="66">
        <f t="shared" si="4"/>
        <v>2478008292</v>
      </c>
      <c r="E14" s="66">
        <f t="shared" si="4"/>
        <v>2540597050</v>
      </c>
      <c r="F14" s="66">
        <f t="shared" si="4"/>
        <v>2794317500</v>
      </c>
      <c r="G14" s="66">
        <f t="shared" si="4"/>
        <v>2904616200</v>
      </c>
      <c r="H14" s="66">
        <f t="shared" si="4"/>
        <v>2920742450</v>
      </c>
      <c r="I14" s="66">
        <f t="shared" si="4"/>
        <v>3106996400</v>
      </c>
      <c r="J14" s="66">
        <f t="shared" si="4"/>
        <v>3060583926</v>
      </c>
      <c r="K14" s="66">
        <f t="shared" si="4"/>
        <v>3076542100</v>
      </c>
      <c r="L14" s="66">
        <f t="shared" si="4"/>
        <v>3196293470</v>
      </c>
      <c r="M14" s="66">
        <f t="shared" si="4"/>
        <v>3144300790</v>
      </c>
      <c r="N14" s="66">
        <f>SUM(N12:N13)</f>
        <v>3138733776</v>
      </c>
      <c r="O14" s="66">
        <f>SUM(O12:O13)</f>
        <v>3114495690</v>
      </c>
      <c r="P14" s="66">
        <f t="shared" si="4"/>
        <v>3126956840</v>
      </c>
      <c r="Q14" s="66">
        <f>SUM(Q12:Q13)</f>
        <v>3159458900</v>
      </c>
      <c r="R14" s="66">
        <f>SUM(R12:R13)</f>
        <v>3260415990</v>
      </c>
      <c r="S14" s="191">
        <f t="shared" si="4"/>
        <v>3276275030</v>
      </c>
    </row>
    <row r="15" spans="1:19" s="67" customFormat="1" x14ac:dyDescent="0.25">
      <c r="A15" s="67" t="s">
        <v>971</v>
      </c>
      <c r="B15" s="68"/>
      <c r="C15" s="68"/>
      <c r="D15" s="73">
        <f>(D14-C14)/C14</f>
        <v>-1.5202081454285183E-2</v>
      </c>
      <c r="E15" s="73">
        <f>(E14-D14)/D14</f>
        <v>2.5257687071533013E-2</v>
      </c>
      <c r="F15" s="73">
        <f>(F14-E14)/E14</f>
        <v>9.986646642764542E-2</v>
      </c>
      <c r="G15" s="73">
        <f>(G14-F14)/F14</f>
        <v>3.9472500887962801E-2</v>
      </c>
      <c r="H15" s="73">
        <f t="shared" ref="H15:M15" si="5">(H14-G14)/G14</f>
        <v>5.551938324932568E-3</v>
      </c>
      <c r="I15" s="73">
        <f t="shared" si="5"/>
        <v>6.3769385075359869E-2</v>
      </c>
      <c r="J15" s="73">
        <f t="shared" si="5"/>
        <v>-1.4938052068550835E-2</v>
      </c>
      <c r="K15" s="73">
        <f t="shared" si="5"/>
        <v>5.2140945603332562E-3</v>
      </c>
      <c r="L15" s="73">
        <f t="shared" si="5"/>
        <v>3.8924014724193115E-2</v>
      </c>
      <c r="M15" s="73">
        <f t="shared" si="5"/>
        <v>-1.6266553896879813E-2</v>
      </c>
      <c r="N15" s="73">
        <f t="shared" ref="N15:S15" si="6">(N14-M14)/M14</f>
        <v>-1.7705093665673125E-3</v>
      </c>
      <c r="O15" s="73">
        <f t="shared" si="6"/>
        <v>-7.7222497127134495E-3</v>
      </c>
      <c r="P15" s="73">
        <f t="shared" si="6"/>
        <v>4.0010169351045082E-3</v>
      </c>
      <c r="Q15" s="73">
        <f t="shared" si="6"/>
        <v>1.039415049937178E-2</v>
      </c>
      <c r="R15" s="73">
        <f t="shared" si="6"/>
        <v>3.195391780535585E-2</v>
      </c>
      <c r="S15" s="73">
        <f t="shared" si="6"/>
        <v>4.864115514290555E-3</v>
      </c>
    </row>
    <row r="16" spans="1:19" x14ac:dyDescent="0.25">
      <c r="B16" s="60"/>
      <c r="C16" s="60"/>
      <c r="D16" s="60"/>
      <c r="E16" s="60"/>
      <c r="F16" s="60"/>
      <c r="G16" s="60"/>
      <c r="H16" s="60"/>
      <c r="I16" s="60"/>
      <c r="J16" s="60"/>
      <c r="K16" s="60"/>
      <c r="L16" s="60"/>
      <c r="M16" s="60"/>
      <c r="N16" s="60"/>
      <c r="O16" s="60"/>
      <c r="P16" s="60"/>
      <c r="Q16" s="60"/>
      <c r="R16" s="60"/>
      <c r="S16" s="191"/>
    </row>
    <row r="17" spans="1:19" s="62" customFormat="1" x14ac:dyDescent="0.25">
      <c r="A17" s="59" t="s">
        <v>183</v>
      </c>
      <c r="B17" s="75">
        <f>B7</f>
        <v>1.77</v>
      </c>
      <c r="C17" s="75">
        <f>C7</f>
        <v>1.66</v>
      </c>
      <c r="D17" s="75">
        <f>D7</f>
        <v>1.83</v>
      </c>
      <c r="E17" s="75">
        <v>1.85</v>
      </c>
      <c r="F17" s="75">
        <v>1.85</v>
      </c>
      <c r="G17" s="75">
        <v>1.87</v>
      </c>
      <c r="H17" s="75">
        <v>1.96</v>
      </c>
      <c r="I17" s="75">
        <v>1.98</v>
      </c>
      <c r="J17" s="75">
        <v>2.0299999999999998</v>
      </c>
      <c r="K17" s="75">
        <v>2.13</v>
      </c>
      <c r="L17" s="75">
        <f t="shared" ref="L17:S17" si="7">L7</f>
        <v>2.08</v>
      </c>
      <c r="M17" s="75">
        <f t="shared" si="7"/>
        <v>2.29</v>
      </c>
      <c r="N17" s="75">
        <f t="shared" si="7"/>
        <v>2.48</v>
      </c>
      <c r="O17" s="75">
        <f t="shared" si="7"/>
        <v>2.63</v>
      </c>
      <c r="P17" s="75">
        <f t="shared" si="7"/>
        <v>2.71</v>
      </c>
      <c r="Q17" s="75">
        <f>Q7</f>
        <v>2.68</v>
      </c>
      <c r="R17" s="75">
        <f>R7</f>
        <v>2.75</v>
      </c>
      <c r="S17" s="181">
        <f t="shared" si="7"/>
        <v>2.88</v>
      </c>
    </row>
    <row r="18" spans="1:19" ht="20.25" thickBot="1" x14ac:dyDescent="0.3">
      <c r="A18" s="59" t="s">
        <v>189</v>
      </c>
      <c r="B18" s="76">
        <f>B14*B7/1000</f>
        <v>3853917.4083600002</v>
      </c>
      <c r="C18" s="76">
        <f t="shared" ref="C18:P18" si="8">C14*C7/1000</f>
        <v>4176992.7487199996</v>
      </c>
      <c r="D18" s="76">
        <f t="shared" si="8"/>
        <v>4534755.1743600005</v>
      </c>
      <c r="E18" s="76">
        <f t="shared" si="8"/>
        <v>4979570.2180000003</v>
      </c>
      <c r="F18" s="76">
        <f t="shared" si="8"/>
        <v>5169487.375</v>
      </c>
      <c r="G18" s="76">
        <f t="shared" si="8"/>
        <v>5431632.2939999998</v>
      </c>
      <c r="H18" s="76">
        <f t="shared" si="8"/>
        <v>5724655.2019999996</v>
      </c>
      <c r="I18" s="76">
        <f t="shared" si="8"/>
        <v>6151852.8720000004</v>
      </c>
      <c r="J18" s="76">
        <f t="shared" si="8"/>
        <v>6212985.3697799994</v>
      </c>
      <c r="K18" s="76">
        <f t="shared" si="8"/>
        <v>6553034.6730000004</v>
      </c>
      <c r="L18" s="76">
        <f t="shared" si="8"/>
        <v>6648290.4176000003</v>
      </c>
      <c r="M18" s="76">
        <f t="shared" si="8"/>
        <v>7200448.8091000002</v>
      </c>
      <c r="N18" s="76">
        <f>N14*N7/1000</f>
        <v>7784059.7644799994</v>
      </c>
      <c r="O18" s="76">
        <f>O14*O7/1000</f>
        <v>8191123.6646999996</v>
      </c>
      <c r="P18" s="76">
        <f t="shared" si="8"/>
        <v>8474053.0363999996</v>
      </c>
      <c r="Q18" s="76">
        <f>Q14*Q7/1000</f>
        <v>8467349.8520000018</v>
      </c>
      <c r="R18" s="76">
        <f>R14*R7/1000</f>
        <v>8966143.9725000001</v>
      </c>
      <c r="S18" s="193">
        <f>S14*S7/1000</f>
        <v>9435672.0864000004</v>
      </c>
    </row>
    <row r="19" spans="1:19" ht="20.25" thickTop="1" x14ac:dyDescent="0.25">
      <c r="B19" s="74"/>
      <c r="C19" s="74"/>
      <c r="D19" s="74"/>
      <c r="E19" s="74"/>
      <c r="F19" s="74"/>
      <c r="G19" s="74"/>
      <c r="H19" s="74"/>
      <c r="I19" s="74"/>
      <c r="J19" s="74"/>
      <c r="K19" s="74"/>
      <c r="L19" s="74"/>
      <c r="M19" s="74"/>
      <c r="N19" s="74"/>
      <c r="O19" s="74"/>
      <c r="P19" s="74"/>
      <c r="Q19" s="74"/>
      <c r="R19" s="74"/>
      <c r="S19" s="194"/>
    </row>
    <row r="20" spans="1:19" ht="40.5" customHeight="1" x14ac:dyDescent="0.25">
      <c r="A20" s="59" t="s">
        <v>972</v>
      </c>
      <c r="B20" s="60">
        <v>5177888.54</v>
      </c>
      <c r="C20" s="60">
        <v>5932686.9699999997</v>
      </c>
      <c r="D20" s="60">
        <v>5860056.6699999999</v>
      </c>
      <c r="E20" s="60">
        <v>6545196.0099999998</v>
      </c>
      <c r="F20" s="60">
        <v>7100928.3799999999</v>
      </c>
      <c r="G20" s="60">
        <v>7555909.0099999998</v>
      </c>
      <c r="H20" s="60">
        <v>7296709.2300000004</v>
      </c>
      <c r="I20" s="60">
        <v>9269801</v>
      </c>
      <c r="J20" s="60">
        <v>7616673.3600000003</v>
      </c>
      <c r="K20" s="60">
        <v>8747510.7200000007</v>
      </c>
      <c r="L20" s="60">
        <v>8573077.8900000006</v>
      </c>
      <c r="M20" s="60">
        <v>8425528.7799999993</v>
      </c>
      <c r="N20" s="60">
        <v>9594346.5199999996</v>
      </c>
      <c r="O20" s="60">
        <v>11160645</v>
      </c>
      <c r="P20" s="60">
        <v>10313588</v>
      </c>
      <c r="Q20" s="60">
        <v>10737019.279999999</v>
      </c>
      <c r="R20" s="60">
        <v>11826255</v>
      </c>
      <c r="S20" s="191">
        <v>11794209</v>
      </c>
    </row>
    <row r="21" spans="1:19" ht="51.75" customHeight="1" x14ac:dyDescent="0.25">
      <c r="A21" s="64" t="s">
        <v>974</v>
      </c>
      <c r="B21" s="60">
        <v>-1323971.1399999999</v>
      </c>
      <c r="C21" s="60">
        <v>-1755694.23</v>
      </c>
      <c r="D21" s="60">
        <v>-1325301.49</v>
      </c>
      <c r="E21" s="60">
        <v>-1565625.79</v>
      </c>
      <c r="F21" s="60">
        <v>-1931441</v>
      </c>
      <c r="G21" s="60">
        <v>-2124276.71</v>
      </c>
      <c r="H21" s="60">
        <v>-1572054.03</v>
      </c>
      <c r="I21" s="60">
        <v>-3117948</v>
      </c>
      <c r="J21" s="60">
        <v>-1403688</v>
      </c>
      <c r="K21" s="60">
        <v>-2194476.0499999998</v>
      </c>
      <c r="L21" s="60">
        <v>-1924787.47</v>
      </c>
      <c r="M21" s="60">
        <v>-1225079.97</v>
      </c>
      <c r="N21" s="60">
        <v>-1810286.75</v>
      </c>
      <c r="O21" s="60">
        <v>-2969522</v>
      </c>
      <c r="P21" s="60">
        <v>-1839535</v>
      </c>
      <c r="Q21" s="60">
        <v>-2269669.42</v>
      </c>
      <c r="R21" s="60">
        <v>-2860111</v>
      </c>
      <c r="S21" s="191">
        <v>-2358537</v>
      </c>
    </row>
    <row r="22" spans="1:19" x14ac:dyDescent="0.25">
      <c r="S22" s="190"/>
    </row>
    <row r="23" spans="1:19" s="189" customFormat="1" ht="37.5" customHeight="1" thickBot="1" x14ac:dyDescent="0.35">
      <c r="A23" s="189" t="s">
        <v>968</v>
      </c>
      <c r="B23" s="342">
        <f>SUM(B20:B22)</f>
        <v>3853917.4000000004</v>
      </c>
      <c r="C23" s="342">
        <f t="shared" ref="C23:P23" si="9">SUM(C20:C22)</f>
        <v>4176992.7399999998</v>
      </c>
      <c r="D23" s="342">
        <f t="shared" si="9"/>
        <v>4534755.18</v>
      </c>
      <c r="E23" s="342">
        <f t="shared" si="9"/>
        <v>4979570.22</v>
      </c>
      <c r="F23" s="342">
        <f t="shared" si="9"/>
        <v>5169487.38</v>
      </c>
      <c r="G23" s="342">
        <f t="shared" si="9"/>
        <v>5431632.2999999998</v>
      </c>
      <c r="H23" s="342">
        <f t="shared" si="9"/>
        <v>5724655.2000000002</v>
      </c>
      <c r="I23" s="342">
        <f t="shared" si="9"/>
        <v>6151853</v>
      </c>
      <c r="J23" s="342">
        <f t="shared" si="9"/>
        <v>6212985.3600000003</v>
      </c>
      <c r="K23" s="342">
        <f t="shared" si="9"/>
        <v>6553034.6700000009</v>
      </c>
      <c r="L23" s="342">
        <f t="shared" si="9"/>
        <v>6648290.4200000009</v>
      </c>
      <c r="M23" s="342">
        <f t="shared" si="9"/>
        <v>7200448.8099999996</v>
      </c>
      <c r="N23" s="342">
        <f>SUM(N20:N22)</f>
        <v>7784059.7699999996</v>
      </c>
      <c r="O23" s="342">
        <f>SUM(O20:O22)</f>
        <v>8191123</v>
      </c>
      <c r="P23" s="342">
        <f t="shared" si="9"/>
        <v>8474053</v>
      </c>
      <c r="Q23" s="342">
        <f>SUM(Q20:Q22)</f>
        <v>8467349.8599999994</v>
      </c>
      <c r="R23" s="342">
        <f>SUM(R20:R22)</f>
        <v>8966144</v>
      </c>
      <c r="S23" s="343">
        <f>SUM(S20:S22)</f>
        <v>9435672</v>
      </c>
    </row>
    <row r="24" spans="1:19" ht="20.25" thickTop="1" x14ac:dyDescent="0.25">
      <c r="S24" s="190"/>
    </row>
    <row r="25" spans="1:19" ht="40.5" x14ac:dyDescent="0.3">
      <c r="A25" s="187" t="s">
        <v>966</v>
      </c>
      <c r="B25" s="188">
        <f>(B14/1000)*0.01</f>
        <v>21773.544679999999</v>
      </c>
      <c r="C25" s="188">
        <f t="shared" ref="C25:P25" si="10">(C14/1000)*0.01</f>
        <v>25162.606919999998</v>
      </c>
      <c r="D25" s="188">
        <f t="shared" si="10"/>
        <v>24780.082920000001</v>
      </c>
      <c r="E25" s="188">
        <f t="shared" si="10"/>
        <v>25405.970499999999</v>
      </c>
      <c r="F25" s="188">
        <f t="shared" si="10"/>
        <v>27943.174999999999</v>
      </c>
      <c r="G25" s="188">
        <f t="shared" si="10"/>
        <v>29046.162000000004</v>
      </c>
      <c r="H25" s="188">
        <f t="shared" si="10"/>
        <v>29207.424500000001</v>
      </c>
      <c r="I25" s="188">
        <f t="shared" si="10"/>
        <v>31069.964</v>
      </c>
      <c r="J25" s="188">
        <f t="shared" si="10"/>
        <v>30605.839260000001</v>
      </c>
      <c r="K25" s="188">
        <f t="shared" si="10"/>
        <v>30765.421000000002</v>
      </c>
      <c r="L25" s="188">
        <f t="shared" si="10"/>
        <v>31962.934700000002</v>
      </c>
      <c r="M25" s="188">
        <f t="shared" si="10"/>
        <v>31443.007900000001</v>
      </c>
      <c r="N25" s="188">
        <f>(N14/1000)*0.01</f>
        <v>31387.337760000002</v>
      </c>
      <c r="O25" s="188">
        <f>(O14/1000)*0.01</f>
        <v>31144.956900000001</v>
      </c>
      <c r="P25" s="188">
        <f t="shared" si="10"/>
        <v>31269.5684</v>
      </c>
      <c r="Q25" s="188">
        <f>(Q14/1000)*0.01</f>
        <v>31594.589</v>
      </c>
      <c r="R25" s="188">
        <f>(R14/1000)*0.01</f>
        <v>32604.159900000002</v>
      </c>
      <c r="S25" s="195">
        <f>(S14/1000)*0.01</f>
        <v>32762.7503</v>
      </c>
    </row>
    <row r="27" spans="1:19" x14ac:dyDescent="0.25">
      <c r="L27" s="74"/>
      <c r="M27" s="74"/>
      <c r="N27" s="74"/>
      <c r="O27" s="74"/>
      <c r="P27" s="74"/>
      <c r="Q27" s="74"/>
      <c r="R27" s="74"/>
      <c r="S27" s="74"/>
    </row>
    <row r="28" spans="1:19" ht="20.25" x14ac:dyDescent="0.3">
      <c r="A28" s="189" t="s">
        <v>973</v>
      </c>
    </row>
    <row r="29" spans="1:19" ht="21" x14ac:dyDescent="0.35">
      <c r="A29" s="390" t="s">
        <v>181</v>
      </c>
    </row>
    <row r="30" spans="1:19" ht="21" x14ac:dyDescent="0.35">
      <c r="A30" s="390" t="s">
        <v>182</v>
      </c>
    </row>
    <row r="31" spans="1:19" ht="21" x14ac:dyDescent="0.35">
      <c r="A31" s="390" t="s">
        <v>190</v>
      </c>
    </row>
    <row r="32" spans="1:19" ht="21" x14ac:dyDescent="0.35">
      <c r="A32" s="390" t="s">
        <v>191</v>
      </c>
    </row>
    <row r="33" spans="1:1" ht="21" x14ac:dyDescent="0.35">
      <c r="A33" s="390" t="s">
        <v>192</v>
      </c>
    </row>
    <row r="34" spans="1:1" ht="21" x14ac:dyDescent="0.35">
      <c r="A34" s="390" t="s">
        <v>193</v>
      </c>
    </row>
  </sheetData>
  <pageMargins left="0.75" right="0.75" top="1" bottom="1" header="0.5" footer="0.5"/>
  <pageSetup paperSize="5" scale="50" orientation="landscape" r:id="rId1"/>
  <headerFooter alignWithMargins="0">
    <oddHeader>&amp;C&amp;"-,Bold"Proposed Budget &amp; Analysis Report for FY20</oddHeader>
    <oddFooter>&amp;C&amp;D&amp;T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AU375"/>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5.42578125" style="161" customWidth="1"/>
    <col min="4" max="4" width="13.28515625" style="211" hidden="1" customWidth="1"/>
    <col min="5" max="5" width="11.42578125" style="211" hidden="1" customWidth="1"/>
    <col min="6" max="6" width="7.7109375" style="211" hidden="1" customWidth="1"/>
    <col min="7" max="7" width="2" style="213" hidden="1" customWidth="1"/>
    <col min="8" max="8" width="13.28515625" style="211" hidden="1" customWidth="1"/>
    <col min="9" max="9" width="11.42578125" style="211" hidden="1" customWidth="1"/>
    <col min="10" max="10" width="7.7109375" style="211" hidden="1" customWidth="1"/>
    <col min="11" max="11" width="2" style="213" hidden="1" customWidth="1"/>
    <col min="12" max="12" width="13.28515625" style="211" hidden="1" customWidth="1"/>
    <col min="13" max="13" width="11.42578125" style="211" hidden="1" customWidth="1"/>
    <col min="14" max="14" width="7.7109375" style="211" hidden="1" customWidth="1"/>
    <col min="15" max="15" width="2" style="213" hidden="1" customWidth="1"/>
    <col min="16" max="16" width="13.28515625" style="211" hidden="1" customWidth="1"/>
    <col min="17" max="17" width="11.42578125" style="211" hidden="1" customWidth="1"/>
    <col min="18" max="18" width="7.7109375" style="211" hidden="1" customWidth="1"/>
    <col min="19" max="19" width="2" style="213" hidden="1" customWidth="1"/>
    <col min="20" max="20" width="13.28515625" style="161" hidden="1" customWidth="1"/>
    <col min="21" max="21" width="11.42578125" style="161" hidden="1" customWidth="1"/>
    <col min="22" max="22" width="7.7109375" style="161" hidden="1" customWidth="1"/>
    <col min="23" max="23" width="2" style="103" hidden="1" customWidth="1"/>
    <col min="24" max="25" width="11.5703125" style="161" hidden="1" customWidth="1"/>
    <col min="26" max="26" width="7.7109375" style="161" hidden="1" customWidth="1"/>
    <col min="27" max="27" width="2" style="103" hidden="1" customWidth="1"/>
    <col min="28" max="29" width="11.5703125" style="161" customWidth="1"/>
    <col min="30" max="30" width="7.85546875" style="161" bestFit="1" customWidth="1"/>
    <col min="31" max="31" width="2" style="213" customWidth="1"/>
    <col min="32" max="32" width="11.5703125" style="211" hidden="1" customWidth="1"/>
    <col min="33" max="34" width="11.5703125" style="211" customWidth="1"/>
    <col min="35" max="35" width="8.28515625" style="211" bestFit="1" customWidth="1"/>
    <col min="36" max="36" width="1.85546875" style="161" customWidth="1"/>
    <col min="37" max="38" width="11.5703125" style="394" customWidth="1"/>
    <col min="39" max="39" width="7.85546875" style="394" bestFit="1" customWidth="1"/>
    <col min="40" max="40" width="2" style="397" customWidth="1"/>
    <col min="41" max="41" width="13.5703125" style="104" customWidth="1"/>
    <col min="42" max="42" width="11.7109375" style="104" customWidth="1"/>
    <col min="43" max="43" width="10.5703125" style="161" bestFit="1" customWidth="1"/>
    <col min="44" max="44" width="18.710937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1666</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420</v>
      </c>
      <c r="B6" s="119" t="str">
        <f>MID(A6,14,4)</f>
        <v>5108</v>
      </c>
      <c r="C6" s="161" t="s">
        <v>1721</v>
      </c>
      <c r="D6" s="245">
        <v>26152</v>
      </c>
      <c r="E6" s="245">
        <v>26095.37</v>
      </c>
      <c r="F6" s="216"/>
      <c r="H6" s="245">
        <v>27305</v>
      </c>
      <c r="I6" s="245">
        <v>27305.34</v>
      </c>
      <c r="J6" s="216"/>
      <c r="L6" s="245">
        <v>29080.1</v>
      </c>
      <c r="M6" s="245">
        <v>28968.7</v>
      </c>
      <c r="N6" s="216"/>
      <c r="P6" s="245">
        <v>30801.65</v>
      </c>
      <c r="Q6" s="245">
        <v>30857.21</v>
      </c>
      <c r="R6" s="216"/>
      <c r="T6" s="162">
        <v>32381.23</v>
      </c>
      <c r="U6" s="162">
        <v>32410.57</v>
      </c>
      <c r="V6" s="80"/>
      <c r="X6" s="162">
        <v>34073.1</v>
      </c>
      <c r="Y6" s="162">
        <v>34073.24</v>
      </c>
      <c r="Z6" s="80">
        <v>5.2248478516720924E-2</v>
      </c>
      <c r="AB6" s="162">
        <v>35469.379999999997</v>
      </c>
      <c r="AC6" s="162">
        <v>35469.379999999997</v>
      </c>
      <c r="AD6" s="80">
        <f>(AB6-X6)/X6</f>
        <v>4.097895407227399E-2</v>
      </c>
      <c r="AF6" s="245">
        <v>37137.69</v>
      </c>
      <c r="AG6" s="380">
        <v>41477.08</v>
      </c>
      <c r="AH6" s="245">
        <v>41477.08</v>
      </c>
      <c r="AI6" s="216">
        <f>(AG6-AB6)/AB6</f>
        <v>0.16937707961063894</v>
      </c>
      <c r="AJ6" s="80"/>
      <c r="AK6" s="398">
        <v>43748.82</v>
      </c>
      <c r="AL6" s="398">
        <v>20952.490000000002</v>
      </c>
      <c r="AM6" s="396">
        <f>(AK6-AG6)/AG6</f>
        <v>5.4770972305668526E-2</v>
      </c>
      <c r="AO6" s="163">
        <f>'FY20 Payroll Schedule'!J30</f>
        <v>44707.212000000007</v>
      </c>
      <c r="AP6" s="104">
        <f>AO6-AK6</f>
        <v>958.3920000000071</v>
      </c>
      <c r="AQ6" s="396">
        <f>(AO6-AK6)/AK6</f>
        <v>2.1906693711967708E-2</v>
      </c>
      <c r="AR6" s="288" t="s">
        <v>1394</v>
      </c>
    </row>
    <row r="7" spans="1:44" x14ac:dyDescent="0.25">
      <c r="A7" s="119" t="s">
        <v>1074</v>
      </c>
      <c r="B7" s="119" t="str">
        <f>MID(A7,14,4)</f>
        <v>5142</v>
      </c>
      <c r="C7" s="161" t="s">
        <v>1455</v>
      </c>
      <c r="D7" s="245">
        <v>0</v>
      </c>
      <c r="E7" s="245">
        <v>0</v>
      </c>
      <c r="F7" s="216"/>
      <c r="H7" s="245">
        <v>0</v>
      </c>
      <c r="I7" s="245">
        <v>0</v>
      </c>
      <c r="J7" s="216"/>
      <c r="L7" s="245">
        <v>0</v>
      </c>
      <c r="M7" s="245">
        <v>0</v>
      </c>
      <c r="N7" s="216"/>
      <c r="P7" s="245">
        <v>0</v>
      </c>
      <c r="Q7" s="245">
        <v>0</v>
      </c>
      <c r="R7" s="216"/>
      <c r="T7" s="245">
        <v>0</v>
      </c>
      <c r="U7" s="245">
        <v>0</v>
      </c>
      <c r="V7" s="216"/>
      <c r="W7" s="213"/>
      <c r="X7" s="245">
        <v>340.73</v>
      </c>
      <c r="Y7" s="245">
        <v>340.73</v>
      </c>
      <c r="Z7" s="216" t="e">
        <v>#DIV/0!</v>
      </c>
      <c r="AA7" s="213"/>
      <c r="AB7" s="245">
        <v>354.69</v>
      </c>
      <c r="AC7" s="245">
        <v>354.69</v>
      </c>
      <c r="AD7" s="216">
        <f>(AB7-X7)/X7</f>
        <v>4.0970856690047776E-2</v>
      </c>
      <c r="AF7" s="245">
        <v>371.38</v>
      </c>
      <c r="AG7" s="380">
        <v>414.86</v>
      </c>
      <c r="AH7" s="245">
        <v>414.86</v>
      </c>
      <c r="AI7" s="216">
        <f>(AG7-AB7)/AB7</f>
        <v>0.16964109504073985</v>
      </c>
      <c r="AJ7" s="80"/>
      <c r="AK7" s="398">
        <v>437.49</v>
      </c>
      <c r="AL7" s="398">
        <v>437.49</v>
      </c>
      <c r="AM7" s="396">
        <f>(AK7-AG7)/AG7</f>
        <v>5.4548522393096453E-2</v>
      </c>
      <c r="AO7" s="163">
        <f>'FY20 Payroll Schedule'!K30</f>
        <v>447.0721200000001</v>
      </c>
      <c r="AP7" s="399">
        <f>AO7-AK7</f>
        <v>9.5821200000000886</v>
      </c>
      <c r="AQ7" s="396">
        <f>(AO7-AK7)/AK7</f>
        <v>2.190248919975334E-2</v>
      </c>
      <c r="AR7" s="288" t="s">
        <v>1165</v>
      </c>
    </row>
    <row r="8" spans="1:44" s="114" customFormat="1" x14ac:dyDescent="0.25">
      <c r="A8" s="224"/>
      <c r="B8" s="224"/>
      <c r="C8" s="224" t="s">
        <v>26</v>
      </c>
      <c r="D8" s="225">
        <f>SUM(D6)</f>
        <v>26152</v>
      </c>
      <c r="E8" s="225">
        <f>SUM(E6)</f>
        <v>26095.37</v>
      </c>
      <c r="F8" s="226">
        <v>6.5000000000000002E-2</v>
      </c>
      <c r="G8" s="224"/>
      <c r="H8" s="225">
        <f>SUM(H6)</f>
        <v>27305</v>
      </c>
      <c r="I8" s="225">
        <f>SUM(I6)</f>
        <v>27305.34</v>
      </c>
      <c r="J8" s="226">
        <v>6.5000000000000002E-2</v>
      </c>
      <c r="K8" s="224"/>
      <c r="L8" s="225">
        <f>SUM(L6)</f>
        <v>29080.1</v>
      </c>
      <c r="M8" s="225">
        <f>SUM(M6)</f>
        <v>28968.7</v>
      </c>
      <c r="N8" s="226">
        <v>6.5000000000000002E-2</v>
      </c>
      <c r="O8" s="224"/>
      <c r="P8" s="225">
        <f>SUM(P6)</f>
        <v>30801.65</v>
      </c>
      <c r="Q8" s="225">
        <f>SUM(Q6)</f>
        <v>30857.21</v>
      </c>
      <c r="R8" s="226">
        <v>6.5000000000000002E-2</v>
      </c>
      <c r="S8" s="224"/>
      <c r="T8" s="225">
        <f>SUM(T6)</f>
        <v>32381.23</v>
      </c>
      <c r="U8" s="225">
        <f>SUM(U6)</f>
        <v>32410.57</v>
      </c>
      <c r="V8" s="226">
        <v>6.5000000000000002E-2</v>
      </c>
      <c r="W8" s="224"/>
      <c r="X8" s="225">
        <f>SUM(X6:X7)</f>
        <v>34413.83</v>
      </c>
      <c r="Y8" s="225">
        <f>SUM(Y6)</f>
        <v>34073.24</v>
      </c>
      <c r="Z8" s="226">
        <f>(X8-T8)/T8</f>
        <v>6.2770932419800057E-2</v>
      </c>
      <c r="AA8" s="224"/>
      <c r="AB8" s="225">
        <f>SUM(AB6:AB7)</f>
        <v>35824.07</v>
      </c>
      <c r="AC8" s="225">
        <f>SUM(AC6:AC7)</f>
        <v>35824.07</v>
      </c>
      <c r="AD8" s="226">
        <f>(AB8-X8)/X8</f>
        <v>4.097887390040568E-2</v>
      </c>
      <c r="AE8" s="224"/>
      <c r="AF8" s="225">
        <f>SUM(AF6:AF7)</f>
        <v>37509.07</v>
      </c>
      <c r="AG8" s="382">
        <f>SUM(AG6:AG7)</f>
        <v>41891.94</v>
      </c>
      <c r="AH8" s="225">
        <f>SUM(AH6:AH7)</f>
        <v>41891.94</v>
      </c>
      <c r="AI8" s="226">
        <f>(AG8-AB8)/AB8</f>
        <v>0.16937969359707042</v>
      </c>
      <c r="AJ8" s="226"/>
      <c r="AK8" s="225">
        <f>SUM(AK6:AK7)</f>
        <v>44186.31</v>
      </c>
      <c r="AL8" s="225">
        <f>SUM(AL6:AL7)</f>
        <v>21389.980000000003</v>
      </c>
      <c r="AM8" s="226">
        <f>(AK8-AG8)/AG8</f>
        <v>5.4768769362316359E-2</v>
      </c>
      <c r="AN8" s="224"/>
      <c r="AO8" s="227">
        <f>SUM(AO6:AO7)</f>
        <v>45154.284120000004</v>
      </c>
      <c r="AP8" s="225">
        <f>SUM(AP6:AP7)</f>
        <v>967.97412000000713</v>
      </c>
      <c r="AQ8" s="226">
        <f>(AO8-AK8)/AK8</f>
        <v>2.1906652082964301E-2</v>
      </c>
      <c r="AR8" s="224"/>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Q10" s="396"/>
      <c r="AR10" s="111"/>
    </row>
    <row r="11" spans="1:44" x14ac:dyDescent="0.25">
      <c r="A11" s="161" t="s">
        <v>421</v>
      </c>
      <c r="B11" s="119" t="str">
        <f>MID(A11,14,4)</f>
        <v>5306</v>
      </c>
      <c r="C11" s="161" t="s">
        <v>1599</v>
      </c>
      <c r="D11" s="245">
        <v>1614</v>
      </c>
      <c r="E11" s="245">
        <v>1606.7</v>
      </c>
      <c r="F11" s="216"/>
      <c r="H11" s="245">
        <v>1300</v>
      </c>
      <c r="I11" s="245">
        <v>950.95</v>
      </c>
      <c r="J11" s="216"/>
      <c r="L11" s="245">
        <v>1300</v>
      </c>
      <c r="M11" s="245">
        <v>2509.73</v>
      </c>
      <c r="N11" s="216"/>
      <c r="P11" s="245">
        <v>1300</v>
      </c>
      <c r="Q11" s="245">
        <v>1439.25</v>
      </c>
      <c r="R11" s="216"/>
      <c r="T11" s="245">
        <v>2500</v>
      </c>
      <c r="U11" s="245">
        <v>2427.6</v>
      </c>
      <c r="V11" s="216"/>
      <c r="W11" s="213"/>
      <c r="X11" s="245">
        <v>2500</v>
      </c>
      <c r="Y11" s="245">
        <v>1459.15</v>
      </c>
      <c r="Z11" s="216">
        <v>0</v>
      </c>
      <c r="AA11" s="213"/>
      <c r="AB11" s="245">
        <v>2500</v>
      </c>
      <c r="AC11" s="245">
        <v>2295.3000000000002</v>
      </c>
      <c r="AD11" s="216">
        <f>(AB11-X11)/X11</f>
        <v>0</v>
      </c>
      <c r="AF11" s="245">
        <v>2500</v>
      </c>
      <c r="AG11" s="245">
        <v>2500</v>
      </c>
      <c r="AH11" s="245">
        <v>2940.7</v>
      </c>
      <c r="AI11" s="216">
        <f>(AG11-AB11)/AB11</f>
        <v>0</v>
      </c>
      <c r="AJ11" s="80"/>
      <c r="AK11" s="398">
        <v>2500</v>
      </c>
      <c r="AL11" s="398">
        <v>3144.19</v>
      </c>
      <c r="AM11" s="396">
        <f>(AK11-AG11)/AG11</f>
        <v>0</v>
      </c>
      <c r="AO11" s="163">
        <v>3500</v>
      </c>
      <c r="AP11" s="399">
        <f>AO11-AK11</f>
        <v>1000</v>
      </c>
      <c r="AQ11" s="396">
        <f>(AO11-AK11)/AK11</f>
        <v>0.4</v>
      </c>
      <c r="AR11" s="287"/>
    </row>
    <row r="12" spans="1:44" x14ac:dyDescent="0.25">
      <c r="A12" s="161" t="s">
        <v>422</v>
      </c>
      <c r="B12" s="119" t="str">
        <f>MID(A12,14,4)</f>
        <v>5344</v>
      </c>
      <c r="C12" s="161" t="s">
        <v>1601</v>
      </c>
      <c r="D12" s="245">
        <v>350</v>
      </c>
      <c r="E12" s="245">
        <v>360.79</v>
      </c>
      <c r="F12" s="216"/>
      <c r="H12" s="245">
        <v>350</v>
      </c>
      <c r="I12" s="245">
        <v>167.06</v>
      </c>
      <c r="J12" s="216"/>
      <c r="L12" s="245">
        <v>350</v>
      </c>
      <c r="M12" s="245">
        <v>465.82</v>
      </c>
      <c r="N12" s="216"/>
      <c r="P12" s="245">
        <v>350</v>
      </c>
      <c r="Q12" s="245">
        <v>300.33999999999997</v>
      </c>
      <c r="R12" s="216"/>
      <c r="T12" s="245">
        <v>500</v>
      </c>
      <c r="U12" s="245">
        <v>500.92</v>
      </c>
      <c r="V12" s="216"/>
      <c r="W12" s="213"/>
      <c r="X12" s="245">
        <v>500</v>
      </c>
      <c r="Y12" s="245">
        <v>288.87</v>
      </c>
      <c r="Z12" s="216">
        <v>0</v>
      </c>
      <c r="AA12" s="213"/>
      <c r="AB12" s="245">
        <v>500</v>
      </c>
      <c r="AC12" s="245">
        <v>345.86</v>
      </c>
      <c r="AD12" s="216">
        <f>(AB12-X12)/X12</f>
        <v>0</v>
      </c>
      <c r="AF12" s="245">
        <v>500</v>
      </c>
      <c r="AG12" s="245">
        <v>500</v>
      </c>
      <c r="AH12" s="245">
        <v>364.71</v>
      </c>
      <c r="AI12" s="216">
        <f>(AG12-AB12)/AB12</f>
        <v>0</v>
      </c>
      <c r="AJ12" s="80"/>
      <c r="AK12" s="398">
        <v>500</v>
      </c>
      <c r="AL12" s="398">
        <v>204.87</v>
      </c>
      <c r="AM12" s="396">
        <f>(AK12-AG12)/AG12</f>
        <v>0</v>
      </c>
      <c r="AO12" s="163">
        <v>500</v>
      </c>
      <c r="AP12" s="399">
        <f>AO12-AK12</f>
        <v>0</v>
      </c>
      <c r="AQ12" s="396">
        <f>(AO12-AK12)/AK12</f>
        <v>0</v>
      </c>
      <c r="AR12" s="166"/>
    </row>
    <row r="13" spans="1:44" s="394" customFormat="1" x14ac:dyDescent="0.25">
      <c r="A13" s="395" t="s">
        <v>1478</v>
      </c>
      <c r="B13" s="395" t="str">
        <f>MID(A13,14,4)</f>
        <v>5420</v>
      </c>
      <c r="C13" s="394" t="s">
        <v>1480</v>
      </c>
      <c r="D13" s="398">
        <v>0</v>
      </c>
      <c r="E13" s="398">
        <v>0</v>
      </c>
      <c r="F13" s="396"/>
      <c r="G13" s="397"/>
      <c r="H13" s="398">
        <v>0</v>
      </c>
      <c r="I13" s="398">
        <v>0</v>
      </c>
      <c r="J13" s="396"/>
      <c r="K13" s="397"/>
      <c r="L13" s="398">
        <v>0</v>
      </c>
      <c r="M13" s="398">
        <v>0</v>
      </c>
      <c r="N13" s="396"/>
      <c r="O13" s="397"/>
      <c r="P13" s="398">
        <v>0</v>
      </c>
      <c r="Q13" s="398">
        <v>0</v>
      </c>
      <c r="R13" s="396"/>
      <c r="S13" s="397"/>
      <c r="T13" s="398">
        <v>0</v>
      </c>
      <c r="U13" s="398">
        <v>0</v>
      </c>
      <c r="V13" s="396"/>
      <c r="W13" s="397"/>
      <c r="X13" s="398">
        <v>0</v>
      </c>
      <c r="Y13" s="398">
        <v>0</v>
      </c>
      <c r="Z13" s="396" t="e">
        <v>#DIV/0!</v>
      </c>
      <c r="AA13" s="397"/>
      <c r="AB13" s="398">
        <v>0</v>
      </c>
      <c r="AC13" s="398">
        <v>0</v>
      </c>
      <c r="AD13" s="396"/>
      <c r="AE13" s="397"/>
      <c r="AF13" s="398">
        <v>0</v>
      </c>
      <c r="AG13" s="398">
        <v>0</v>
      </c>
      <c r="AH13" s="398">
        <v>43.9</v>
      </c>
      <c r="AI13" s="396"/>
      <c r="AJ13" s="396"/>
      <c r="AK13" s="398">
        <v>0</v>
      </c>
      <c r="AL13" s="398">
        <v>21.95</v>
      </c>
      <c r="AM13" s="396"/>
      <c r="AN13" s="397"/>
      <c r="AO13" s="163">
        <v>0</v>
      </c>
      <c r="AP13" s="399">
        <f>AO13-AK13</f>
        <v>0</v>
      </c>
      <c r="AQ13" s="396"/>
      <c r="AR13" s="400" t="s">
        <v>1479</v>
      </c>
    </row>
    <row r="14" spans="1:44" x14ac:dyDescent="0.25">
      <c r="A14" s="161" t="s">
        <v>423</v>
      </c>
      <c r="B14" s="119" t="str">
        <f>MID(A14,14,4)</f>
        <v>5589</v>
      </c>
      <c r="C14" s="161" t="s">
        <v>1604</v>
      </c>
      <c r="D14" s="245">
        <v>149.65</v>
      </c>
      <c r="E14" s="245">
        <v>146.16</v>
      </c>
      <c r="F14" s="216"/>
      <c r="H14" s="245">
        <v>0</v>
      </c>
      <c r="I14" s="245">
        <v>0</v>
      </c>
      <c r="J14" s="216"/>
      <c r="L14" s="245">
        <v>0</v>
      </c>
      <c r="M14" s="245">
        <v>116.66</v>
      </c>
      <c r="N14" s="216"/>
      <c r="P14" s="245">
        <v>0</v>
      </c>
      <c r="Q14" s="245">
        <v>0</v>
      </c>
      <c r="R14" s="216"/>
      <c r="T14" s="245">
        <v>0</v>
      </c>
      <c r="U14" s="245">
        <v>46.14</v>
      </c>
      <c r="V14" s="216"/>
      <c r="W14" s="213"/>
      <c r="X14" s="245">
        <v>0</v>
      </c>
      <c r="Y14" s="245">
        <v>54.54</v>
      </c>
      <c r="Z14" s="216" t="e">
        <v>#DIV/0!</v>
      </c>
      <c r="AA14" s="213"/>
      <c r="AB14" s="245">
        <v>0</v>
      </c>
      <c r="AC14" s="245">
        <v>43.9</v>
      </c>
      <c r="AD14" s="216"/>
      <c r="AF14" s="245"/>
      <c r="AG14" s="245"/>
      <c r="AH14" s="245">
        <v>43.9</v>
      </c>
      <c r="AI14" s="396"/>
      <c r="AJ14" s="80"/>
      <c r="AK14" s="398">
        <v>0</v>
      </c>
      <c r="AL14" s="398"/>
      <c r="AM14" s="396" t="e">
        <f>(AK14-AG14)/AG14</f>
        <v>#DIV/0!</v>
      </c>
      <c r="AO14" s="163">
        <v>0</v>
      </c>
      <c r="AP14" s="399">
        <f>AO14-AK14</f>
        <v>0</v>
      </c>
      <c r="AQ14" s="396"/>
      <c r="AR14" s="400" t="s">
        <v>328</v>
      </c>
    </row>
    <row r="15" spans="1:44" x14ac:dyDescent="0.25">
      <c r="A15" s="161" t="s">
        <v>424</v>
      </c>
      <c r="B15" s="119" t="str">
        <f>MID(A15,14,4)</f>
        <v>5730</v>
      </c>
      <c r="C15" s="161" t="s">
        <v>1594</v>
      </c>
      <c r="D15" s="245">
        <v>150</v>
      </c>
      <c r="E15" s="245">
        <v>150</v>
      </c>
      <c r="F15" s="216"/>
      <c r="H15" s="245">
        <v>0</v>
      </c>
      <c r="I15" s="245">
        <v>0</v>
      </c>
      <c r="J15" s="216"/>
      <c r="L15" s="245">
        <v>0</v>
      </c>
      <c r="M15" s="245">
        <v>0</v>
      </c>
      <c r="N15" s="216"/>
      <c r="P15" s="245">
        <v>0</v>
      </c>
      <c r="Q15" s="245">
        <v>0</v>
      </c>
      <c r="R15" s="216"/>
      <c r="T15" s="245">
        <v>0</v>
      </c>
      <c r="U15" s="245">
        <v>0</v>
      </c>
      <c r="V15" s="216"/>
      <c r="W15" s="213"/>
      <c r="X15" s="245">
        <v>0</v>
      </c>
      <c r="Y15" s="245">
        <v>0</v>
      </c>
      <c r="Z15" s="216" t="e">
        <v>#DIV/0!</v>
      </c>
      <c r="AA15" s="213"/>
      <c r="AB15" s="245">
        <v>0</v>
      </c>
      <c r="AC15" s="245">
        <v>0</v>
      </c>
      <c r="AD15" s="216"/>
      <c r="AF15" s="245" t="e">
        <f ca="1">_xll.GL($A15,DATA!$M$5,DATA!$A$1,DATA!$M$6,DATA!$M$7)</f>
        <v>#NAME?</v>
      </c>
      <c r="AG15" s="245"/>
      <c r="AH15" s="245"/>
      <c r="AI15" s="396"/>
      <c r="AJ15" s="80"/>
      <c r="AK15" s="398">
        <v>0</v>
      </c>
      <c r="AL15" s="398">
        <v>0</v>
      </c>
      <c r="AM15" s="396" t="e">
        <f>(AK15-AG15)/AG15</f>
        <v>#DIV/0!</v>
      </c>
      <c r="AO15" s="163">
        <v>0</v>
      </c>
      <c r="AP15" s="399">
        <f>AO15-AK15</f>
        <v>0</v>
      </c>
      <c r="AQ15" s="396"/>
      <c r="AR15" s="166"/>
    </row>
    <row r="16" spans="1:44" s="114" customFormat="1" x14ac:dyDescent="0.25">
      <c r="A16" s="219"/>
      <c r="B16" s="219"/>
      <c r="C16" s="219" t="s">
        <v>279</v>
      </c>
      <c r="D16" s="220">
        <f>SUM(D11:D15)</f>
        <v>2263.65</v>
      </c>
      <c r="E16" s="220">
        <f>SUM(E11:E15)</f>
        <v>2263.65</v>
      </c>
      <c r="F16" s="221">
        <v>0</v>
      </c>
      <c r="G16" s="219"/>
      <c r="H16" s="220">
        <f>SUM(H11:H15)</f>
        <v>1650</v>
      </c>
      <c r="I16" s="220">
        <f>SUM(I11:I15)</f>
        <v>1118.01</v>
      </c>
      <c r="J16" s="221">
        <v>0</v>
      </c>
      <c r="K16" s="219"/>
      <c r="L16" s="220">
        <f>SUM(L11:L15)</f>
        <v>1650</v>
      </c>
      <c r="M16" s="220">
        <f>SUM(M11:M15)</f>
        <v>3092.21</v>
      </c>
      <c r="N16" s="221">
        <v>0</v>
      </c>
      <c r="O16" s="219"/>
      <c r="P16" s="220">
        <f>SUM(P11:P15)</f>
        <v>1650</v>
      </c>
      <c r="Q16" s="220">
        <f>SUM(Q11:Q15)</f>
        <v>1739.59</v>
      </c>
      <c r="R16" s="221">
        <v>0</v>
      </c>
      <c r="S16" s="219"/>
      <c r="T16" s="220">
        <f>SUM(T11:T15)</f>
        <v>3000</v>
      </c>
      <c r="U16" s="220">
        <f>SUM(U11:U15)</f>
        <v>2974.66</v>
      </c>
      <c r="V16" s="221">
        <v>0</v>
      </c>
      <c r="W16" s="219"/>
      <c r="X16" s="220">
        <f>SUM(X11:X15)</f>
        <v>3000</v>
      </c>
      <c r="Y16" s="220">
        <f>SUM(Y11:Y15)</f>
        <v>1802.56</v>
      </c>
      <c r="Z16" s="222">
        <f>(X16-T16)/T16</f>
        <v>0</v>
      </c>
      <c r="AA16" s="219"/>
      <c r="AB16" s="220">
        <f>SUM(AB11:AB15)</f>
        <v>3000</v>
      </c>
      <c r="AC16" s="220">
        <f>SUM(AC11:AC15)</f>
        <v>2685.0600000000004</v>
      </c>
      <c r="AD16" s="221">
        <f>(AB16-X16)/X16</f>
        <v>0</v>
      </c>
      <c r="AE16" s="219"/>
      <c r="AF16" s="220" t="e">
        <f ca="1">SUM(AF11:AF15)</f>
        <v>#NAME?</v>
      </c>
      <c r="AG16" s="220">
        <f>SUM(AG11:AG15)</f>
        <v>3000</v>
      </c>
      <c r="AH16" s="220">
        <f>SUM(AH11:AH15)</f>
        <v>3393.21</v>
      </c>
      <c r="AI16" s="221">
        <f>(AG16-AB16)/AB16</f>
        <v>0</v>
      </c>
      <c r="AJ16" s="221"/>
      <c r="AK16" s="401">
        <f>SUM(AK11:AK15)</f>
        <v>3000</v>
      </c>
      <c r="AL16" s="401">
        <f>SUM(AL11:AL15)</f>
        <v>3371.0099999999998</v>
      </c>
      <c r="AM16" s="221">
        <f>(AK16-AG16)/AG16</f>
        <v>0</v>
      </c>
      <c r="AN16" s="219"/>
      <c r="AO16" s="223">
        <f>SUM(AO11:AO15)</f>
        <v>4000</v>
      </c>
      <c r="AP16" s="223">
        <f>SUM(AP11:AP15)</f>
        <v>1000</v>
      </c>
      <c r="AQ16" s="221">
        <f>(AO16-AK16)/AK16</f>
        <v>0.33333333333333331</v>
      </c>
      <c r="AR16" s="219"/>
    </row>
    <row r="17" spans="1:47" s="211" customFormat="1" x14ac:dyDescent="0.25">
      <c r="D17" s="112"/>
      <c r="E17" s="112"/>
      <c r="F17" s="216"/>
      <c r="G17" s="213"/>
      <c r="H17" s="112"/>
      <c r="I17" s="112"/>
      <c r="J17" s="216"/>
      <c r="K17" s="213"/>
      <c r="L17" s="112"/>
      <c r="M17" s="112"/>
      <c r="N17" s="216"/>
      <c r="O17" s="213"/>
      <c r="P17" s="112"/>
      <c r="Q17" s="112"/>
      <c r="R17" s="216"/>
      <c r="S17" s="213"/>
      <c r="T17" s="112"/>
      <c r="U17" s="112"/>
      <c r="V17" s="216"/>
      <c r="W17" s="213"/>
      <c r="X17" s="112"/>
      <c r="Y17" s="112"/>
      <c r="Z17" s="216"/>
      <c r="AA17" s="213"/>
      <c r="AB17" s="112"/>
      <c r="AC17" s="112"/>
      <c r="AD17" s="216"/>
      <c r="AE17" s="213"/>
      <c r="AF17" s="112"/>
      <c r="AG17" s="112"/>
      <c r="AH17" s="112"/>
      <c r="AI17" s="216"/>
      <c r="AJ17" s="216"/>
      <c r="AK17" s="112"/>
      <c r="AL17" s="112"/>
      <c r="AM17" s="396"/>
      <c r="AN17" s="397"/>
      <c r="AO17" s="212"/>
      <c r="AP17" s="212"/>
      <c r="AQ17" s="396"/>
    </row>
    <row r="18" spans="1:47" s="114" customFormat="1" ht="12.75" x14ac:dyDescent="0.2">
      <c r="A18" s="228"/>
      <c r="B18" s="228"/>
      <c r="C18" s="233" t="s">
        <v>280</v>
      </c>
      <c r="D18" s="230">
        <f>D8+D16</f>
        <v>28415.65</v>
      </c>
      <c r="E18" s="230">
        <f>E8+E16</f>
        <v>28359.02</v>
      </c>
      <c r="F18" s="231">
        <v>6.13E-2</v>
      </c>
      <c r="G18" s="228"/>
      <c r="H18" s="230">
        <f>H8+H16</f>
        <v>28955</v>
      </c>
      <c r="I18" s="230">
        <f>I8+I16</f>
        <v>28423.35</v>
      </c>
      <c r="J18" s="231">
        <v>6.13E-2</v>
      </c>
      <c r="K18" s="228"/>
      <c r="L18" s="230">
        <f>L8+L16</f>
        <v>30730.1</v>
      </c>
      <c r="M18" s="230">
        <f>M8+M16</f>
        <v>32060.91</v>
      </c>
      <c r="N18" s="231">
        <v>6.13E-2</v>
      </c>
      <c r="O18" s="228"/>
      <c r="P18" s="230">
        <f>P8+P16</f>
        <v>32451.65</v>
      </c>
      <c r="Q18" s="230">
        <f>Q8+Q16</f>
        <v>32596.799999999999</v>
      </c>
      <c r="R18" s="231">
        <v>6.13E-2</v>
      </c>
      <c r="S18" s="228"/>
      <c r="T18" s="230">
        <f>T8+T16</f>
        <v>35381.229999999996</v>
      </c>
      <c r="U18" s="230">
        <f>U8+U16</f>
        <v>35385.229999999996</v>
      </c>
      <c r="V18" s="231">
        <v>6.13E-2</v>
      </c>
      <c r="W18" s="228"/>
      <c r="X18" s="230">
        <f>X8+X16</f>
        <v>37413.83</v>
      </c>
      <c r="Y18" s="230">
        <f>Y8+Y16</f>
        <v>35875.799999999996</v>
      </c>
      <c r="Z18" s="231">
        <f>(X18-T18)/T18</f>
        <v>5.7448539804862808E-2</v>
      </c>
      <c r="AA18" s="228"/>
      <c r="AB18" s="230">
        <f>AB8+AB16</f>
        <v>38824.07</v>
      </c>
      <c r="AC18" s="230">
        <f>AC8+AC16</f>
        <v>38509.129999999997</v>
      </c>
      <c r="AD18" s="231">
        <f>(AB18-X18)/X18</f>
        <v>3.7693013519332234E-2</v>
      </c>
      <c r="AE18" s="228"/>
      <c r="AF18" s="230" t="e">
        <f ca="1">AF8+AF16</f>
        <v>#NAME?</v>
      </c>
      <c r="AG18" s="382">
        <f>AG8+AG16</f>
        <v>44891.94</v>
      </c>
      <c r="AH18" s="230">
        <f>AH8+AH16</f>
        <v>45285.15</v>
      </c>
      <c r="AI18" s="231">
        <f>(AG18-AB18)/AB18</f>
        <v>0.15629144497215267</v>
      </c>
      <c r="AJ18" s="231"/>
      <c r="AK18" s="402">
        <f>AK8+AK16</f>
        <v>47186.31</v>
      </c>
      <c r="AL18" s="402">
        <f>AL8+AL16</f>
        <v>24760.99</v>
      </c>
      <c r="AM18" s="231">
        <f>(AK18-AG18)/AG18</f>
        <v>5.1108729094799542E-2</v>
      </c>
      <c r="AN18" s="228"/>
      <c r="AO18" s="232">
        <f>SUM(AO8+AO16)</f>
        <v>49154.284120000004</v>
      </c>
      <c r="AP18" s="232">
        <f>SUM(AP8+AP16)</f>
        <v>1967.9741200000071</v>
      </c>
      <c r="AQ18" s="231">
        <f>(AO18-AK18)/AK18</f>
        <v>4.1706463590817047E-2</v>
      </c>
      <c r="AR18" s="233"/>
    </row>
    <row r="19" spans="1:47" x14ac:dyDescent="0.25">
      <c r="D19" s="120"/>
      <c r="H19" s="120"/>
      <c r="L19" s="120"/>
      <c r="P19" s="120"/>
      <c r="T19" s="120"/>
      <c r="X19" s="120"/>
      <c r="AB19" s="120"/>
      <c r="AF19" s="120"/>
      <c r="AG19" s="120"/>
      <c r="AK19" s="403"/>
      <c r="AO19" s="279"/>
    </row>
    <row r="20" spans="1:47" s="111" customFormat="1" thickBot="1" x14ac:dyDescent="0.25">
      <c r="C20" s="111" t="s">
        <v>281</v>
      </c>
      <c r="D20" s="122"/>
      <c r="E20" s="121">
        <f>D18-E18</f>
        <v>56.630000000001019</v>
      </c>
      <c r="G20" s="118"/>
      <c r="H20" s="122"/>
      <c r="I20" s="121">
        <f>H18-I18</f>
        <v>531.65000000000146</v>
      </c>
      <c r="K20" s="118"/>
      <c r="L20" s="122"/>
      <c r="M20" s="121">
        <f>L18-M18</f>
        <v>-1330.8100000000013</v>
      </c>
      <c r="O20" s="118"/>
      <c r="P20" s="122"/>
      <c r="Q20" s="121">
        <f>P18-Q18</f>
        <v>-145.14999999999782</v>
      </c>
      <c r="S20" s="118"/>
      <c r="T20" s="122"/>
      <c r="U20" s="121">
        <f>T18-U18</f>
        <v>-4</v>
      </c>
      <c r="W20" s="118"/>
      <c r="X20" s="122"/>
      <c r="Y20" s="121">
        <f>X18-Y18</f>
        <v>1538.0300000000061</v>
      </c>
      <c r="AA20" s="118"/>
      <c r="AB20" s="122"/>
      <c r="AC20" s="121">
        <f>AB18-AC18</f>
        <v>314.94000000000233</v>
      </c>
      <c r="AE20" s="118"/>
      <c r="AF20" s="122"/>
      <c r="AG20" s="122"/>
      <c r="AH20" s="121">
        <f>AG18-AH18</f>
        <v>-393.20999999999913</v>
      </c>
      <c r="AK20" s="122"/>
      <c r="AL20" s="121">
        <f>AK18-AL18</f>
        <v>22425.319999999996</v>
      </c>
      <c r="AN20" s="118"/>
      <c r="AO20" s="123"/>
      <c r="AP20" s="123"/>
    </row>
    <row r="21" spans="1:47" ht="14.25" thickTop="1" x14ac:dyDescent="0.25">
      <c r="D21" s="120"/>
      <c r="F21" s="216"/>
      <c r="H21" s="120"/>
      <c r="J21" s="216"/>
      <c r="L21" s="120"/>
      <c r="N21" s="216"/>
      <c r="P21" s="120"/>
      <c r="R21" s="216"/>
      <c r="T21" s="120"/>
      <c r="V21" s="80"/>
      <c r="X21" s="120"/>
      <c r="AB21" s="120"/>
      <c r="AF21" s="120"/>
      <c r="AG21" s="120"/>
      <c r="AK21" s="403"/>
      <c r="AO21" s="240" t="s">
        <v>1195</v>
      </c>
      <c r="AP21" s="241"/>
      <c r="AQ21" s="242"/>
      <c r="AR21" s="211"/>
      <c r="AS21" s="211"/>
      <c r="AT21" s="211"/>
      <c r="AU21" s="211"/>
    </row>
    <row r="22" spans="1:47" x14ac:dyDescent="0.25">
      <c r="A22" s="129"/>
      <c r="B22" s="129"/>
      <c r="C22" s="443"/>
      <c r="D22" s="129"/>
      <c r="E22" s="129"/>
      <c r="F22" s="130"/>
      <c r="G22" s="129"/>
      <c r="H22" s="129"/>
      <c r="I22" s="129"/>
      <c r="J22" s="130"/>
      <c r="K22" s="129"/>
      <c r="L22" s="129"/>
      <c r="M22" s="129"/>
      <c r="N22" s="130"/>
      <c r="O22" s="129"/>
      <c r="P22" s="129"/>
      <c r="Q22" s="129"/>
      <c r="R22" s="130"/>
      <c r="S22" s="129"/>
      <c r="T22" s="129"/>
      <c r="U22" s="129"/>
      <c r="V22" s="130"/>
      <c r="W22" s="129"/>
      <c r="X22" s="129"/>
      <c r="Y22" s="129"/>
      <c r="Z22" s="129"/>
      <c r="AA22" s="129"/>
      <c r="AB22" s="129"/>
      <c r="AC22" s="129"/>
      <c r="AD22" s="129"/>
      <c r="AE22" s="129"/>
      <c r="AF22" s="129"/>
      <c r="AG22" s="129"/>
      <c r="AH22" s="129"/>
      <c r="AI22" s="129"/>
      <c r="AJ22" s="129"/>
      <c r="AK22" s="129"/>
      <c r="AL22" s="129"/>
      <c r="AM22" s="129"/>
      <c r="AN22" s="129"/>
      <c r="AO22" s="5" t="s">
        <v>313</v>
      </c>
      <c r="AP22" s="5"/>
      <c r="AQ22" s="299">
        <f>AO8*0.0145</f>
        <v>654.73711974000014</v>
      </c>
      <c r="AR22" s="211"/>
      <c r="AS22" s="211"/>
      <c r="AT22" s="211"/>
      <c r="AU22" s="211"/>
    </row>
    <row r="23" spans="1:47" ht="13.5" customHeight="1" x14ac:dyDescent="0.25">
      <c r="A23" s="444"/>
      <c r="B23" s="445"/>
      <c r="C23" s="129"/>
      <c r="D23" s="131"/>
      <c r="E23" s="131"/>
      <c r="F23" s="130"/>
      <c r="G23" s="129"/>
      <c r="H23" s="131"/>
      <c r="I23" s="131"/>
      <c r="J23" s="130"/>
      <c r="K23" s="129"/>
      <c r="L23" s="131"/>
      <c r="M23" s="131"/>
      <c r="N23" s="130"/>
      <c r="O23" s="129"/>
      <c r="P23" s="131"/>
      <c r="Q23" s="131"/>
      <c r="R23" s="130"/>
      <c r="S23" s="129"/>
      <c r="T23" s="131"/>
      <c r="U23" s="131"/>
      <c r="V23" s="130"/>
      <c r="W23" s="129"/>
      <c r="X23" s="131"/>
      <c r="Y23" s="131"/>
      <c r="Z23" s="130"/>
      <c r="AA23" s="129"/>
      <c r="AB23" s="131"/>
      <c r="AC23" s="131"/>
      <c r="AD23" s="130"/>
      <c r="AE23" s="129"/>
      <c r="AF23" s="131"/>
      <c r="AG23" s="131"/>
      <c r="AH23" s="131"/>
      <c r="AI23" s="446"/>
      <c r="AJ23" s="130"/>
      <c r="AK23" s="131"/>
      <c r="AL23" s="131"/>
      <c r="AM23" s="130"/>
      <c r="AN23" s="129"/>
      <c r="AO23" s="268" t="s">
        <v>314</v>
      </c>
      <c r="AP23" s="5"/>
      <c r="AQ23" s="299">
        <f>AO8*0.0009</f>
        <v>40.638855708000001</v>
      </c>
      <c r="AR23" s="211"/>
      <c r="AS23" s="211"/>
      <c r="AT23" s="211"/>
      <c r="AU23" s="211"/>
    </row>
    <row r="24" spans="1:47" x14ac:dyDescent="0.25">
      <c r="A24" s="444"/>
      <c r="B24" s="445"/>
      <c r="C24" s="129"/>
      <c r="D24" s="131"/>
      <c r="E24" s="131"/>
      <c r="F24" s="130"/>
      <c r="G24" s="129"/>
      <c r="H24" s="131"/>
      <c r="I24" s="131"/>
      <c r="J24" s="130"/>
      <c r="K24" s="129"/>
      <c r="L24" s="131"/>
      <c r="M24" s="131"/>
      <c r="N24" s="130"/>
      <c r="O24" s="129"/>
      <c r="P24" s="131"/>
      <c r="Q24" s="131"/>
      <c r="R24" s="130"/>
      <c r="S24" s="129"/>
      <c r="T24" s="131"/>
      <c r="U24" s="131"/>
      <c r="V24" s="130"/>
      <c r="W24" s="129"/>
      <c r="X24" s="131"/>
      <c r="Y24" s="131"/>
      <c r="Z24" s="130"/>
      <c r="AA24" s="129"/>
      <c r="AB24" s="131"/>
      <c r="AC24" s="131"/>
      <c r="AD24" s="130"/>
      <c r="AE24" s="129"/>
      <c r="AF24" s="131"/>
      <c r="AG24" s="131"/>
      <c r="AH24" s="131"/>
      <c r="AI24" s="447"/>
      <c r="AJ24" s="130"/>
      <c r="AK24" s="131"/>
      <c r="AL24" s="131"/>
      <c r="AM24" s="130"/>
      <c r="AN24" s="129"/>
      <c r="AO24" s="268" t="s">
        <v>315</v>
      </c>
      <c r="AP24" s="5"/>
      <c r="AQ24" s="299">
        <f>AO8*0.003</f>
        <v>135.46285236000003</v>
      </c>
      <c r="AR24" s="211"/>
      <c r="AS24" s="211"/>
      <c r="AT24" s="211"/>
      <c r="AU24" s="211"/>
    </row>
    <row r="25" spans="1:47" x14ac:dyDescent="0.25">
      <c r="A25" s="443"/>
      <c r="B25" s="129"/>
      <c r="C25" s="416"/>
      <c r="D25" s="154"/>
      <c r="E25" s="154"/>
      <c r="F25" s="130"/>
      <c r="G25" s="416"/>
      <c r="H25" s="154"/>
      <c r="I25" s="154"/>
      <c r="J25" s="130"/>
      <c r="K25" s="416"/>
      <c r="L25" s="154"/>
      <c r="M25" s="154"/>
      <c r="N25" s="130"/>
      <c r="O25" s="416"/>
      <c r="P25" s="154"/>
      <c r="Q25" s="154"/>
      <c r="R25" s="130"/>
      <c r="S25" s="416"/>
      <c r="T25" s="154"/>
      <c r="U25" s="154"/>
      <c r="V25" s="130"/>
      <c r="W25" s="416"/>
      <c r="X25" s="154"/>
      <c r="Y25" s="154"/>
      <c r="Z25" s="130"/>
      <c r="AA25" s="129"/>
      <c r="AB25" s="154"/>
      <c r="AC25" s="154"/>
      <c r="AD25" s="130"/>
      <c r="AE25" s="129"/>
      <c r="AF25" s="154"/>
      <c r="AG25" s="154"/>
      <c r="AH25" s="154"/>
      <c r="AI25" s="130"/>
      <c r="AJ25" s="130"/>
      <c r="AK25" s="154"/>
      <c r="AL25" s="154"/>
      <c r="AM25" s="130"/>
      <c r="AN25" s="129"/>
      <c r="AO25" s="268" t="s">
        <v>316</v>
      </c>
      <c r="AP25" s="5"/>
      <c r="AQ25" s="299">
        <f>'County Retirement'!G13</f>
        <v>5522.4977244945203</v>
      </c>
      <c r="AR25" s="211"/>
      <c r="AS25" s="211"/>
      <c r="AT25" s="211"/>
      <c r="AU25" s="211"/>
    </row>
    <row r="26" spans="1:47" x14ac:dyDescent="0.25">
      <c r="A26" s="129"/>
      <c r="B26" s="129"/>
      <c r="C26" s="129"/>
      <c r="D26" s="129"/>
      <c r="E26" s="129"/>
      <c r="F26" s="130"/>
      <c r="G26" s="129"/>
      <c r="H26" s="129"/>
      <c r="I26" s="129"/>
      <c r="J26" s="130"/>
      <c r="K26" s="129"/>
      <c r="L26" s="129"/>
      <c r="M26" s="129"/>
      <c r="N26" s="130"/>
      <c r="O26" s="129"/>
      <c r="P26" s="129"/>
      <c r="Q26" s="129"/>
      <c r="R26" s="130"/>
      <c r="S26" s="129"/>
      <c r="T26" s="129"/>
      <c r="U26" s="129"/>
      <c r="V26" s="130"/>
      <c r="W26" s="129"/>
      <c r="X26" s="129"/>
      <c r="Y26" s="129"/>
      <c r="Z26" s="129"/>
      <c r="AA26" s="129"/>
      <c r="AB26" s="129"/>
      <c r="AC26" s="129"/>
      <c r="AD26" s="129"/>
      <c r="AE26" s="129"/>
      <c r="AF26" s="129"/>
      <c r="AG26" s="129"/>
      <c r="AH26" s="129"/>
      <c r="AI26" s="129"/>
      <c r="AJ26" s="129"/>
      <c r="AK26" s="129"/>
      <c r="AL26" s="129"/>
      <c r="AM26" s="129"/>
      <c r="AN26" s="129"/>
      <c r="AO26" s="268" t="s">
        <v>1153</v>
      </c>
      <c r="AP26" s="5"/>
      <c r="AQ26" s="300" t="s">
        <v>1093</v>
      </c>
      <c r="AR26" s="211"/>
      <c r="AS26" s="211"/>
      <c r="AT26" s="211"/>
      <c r="AU26" s="211"/>
    </row>
    <row r="27" spans="1:47" x14ac:dyDescent="0.25">
      <c r="A27" s="129"/>
      <c r="B27" s="129"/>
      <c r="C27" s="129"/>
      <c r="D27" s="129"/>
      <c r="E27" s="129"/>
      <c r="F27" s="130"/>
      <c r="G27" s="129"/>
      <c r="H27" s="129"/>
      <c r="I27" s="129"/>
      <c r="J27" s="130"/>
      <c r="K27" s="129"/>
      <c r="L27" s="129"/>
      <c r="M27" s="129"/>
      <c r="N27" s="130"/>
      <c r="O27" s="129"/>
      <c r="P27" s="129"/>
      <c r="Q27" s="129"/>
      <c r="R27" s="130"/>
      <c r="S27" s="129"/>
      <c r="T27" s="129"/>
      <c r="U27" s="129"/>
      <c r="V27" s="130"/>
      <c r="W27" s="129"/>
      <c r="X27" s="129"/>
      <c r="Y27" s="129"/>
      <c r="Z27" s="129"/>
      <c r="AA27" s="129"/>
      <c r="AB27" s="129"/>
      <c r="AC27" s="129"/>
      <c r="AD27" s="129"/>
      <c r="AE27" s="129"/>
      <c r="AF27" s="129"/>
      <c r="AG27" s="129"/>
      <c r="AH27" s="129"/>
      <c r="AI27" s="129"/>
      <c r="AJ27" s="129"/>
      <c r="AK27" s="129"/>
      <c r="AL27" s="129"/>
      <c r="AM27" s="129"/>
      <c r="AN27" s="129"/>
      <c r="AO27" s="442"/>
      <c r="AP27" s="237"/>
      <c r="AQ27" s="301">
        <f>SUM(AQ22:AQ26)</f>
        <v>6353.3365523025204</v>
      </c>
      <c r="AR27" s="211"/>
      <c r="AS27" s="211"/>
      <c r="AT27" s="211"/>
      <c r="AU27" s="211"/>
    </row>
    <row r="28" spans="1:47" x14ac:dyDescent="0.25">
      <c r="F28" s="216"/>
      <c r="J28" s="216"/>
      <c r="N28" s="216"/>
      <c r="R28" s="216"/>
      <c r="V28" s="80"/>
      <c r="AO28" s="212"/>
      <c r="AP28" s="212"/>
      <c r="AQ28" s="211"/>
      <c r="AR28" s="211"/>
      <c r="AS28" s="211"/>
      <c r="AT28" s="211"/>
      <c r="AU28" s="211"/>
    </row>
    <row r="29" spans="1:47" x14ac:dyDescent="0.25">
      <c r="F29" s="216"/>
      <c r="J29" s="216"/>
      <c r="N29" s="216"/>
      <c r="R29" s="216"/>
      <c r="V29" s="80"/>
      <c r="AO29" s="212"/>
      <c r="AP29" s="212"/>
      <c r="AQ29" s="211"/>
      <c r="AR29" s="211"/>
      <c r="AS29" s="211"/>
      <c r="AT29" s="211"/>
      <c r="AU29" s="211"/>
    </row>
    <row r="30" spans="1:47" x14ac:dyDescent="0.25">
      <c r="D30" s="120"/>
      <c r="F30" s="216"/>
      <c r="H30" s="120"/>
      <c r="J30" s="216"/>
      <c r="L30" s="120"/>
      <c r="N30" s="216"/>
      <c r="P30" s="120"/>
      <c r="R30" s="216"/>
      <c r="T30" s="120"/>
      <c r="V30" s="80"/>
      <c r="X30" s="120"/>
      <c r="AB30" s="120"/>
      <c r="AF30" s="120"/>
      <c r="AG30" s="120"/>
      <c r="AK30" s="403"/>
      <c r="AO30" s="212"/>
      <c r="AP30" s="212"/>
      <c r="AQ30" s="211"/>
      <c r="AR30" s="211"/>
      <c r="AS30" s="211"/>
      <c r="AT30" s="211"/>
      <c r="AU30" s="211"/>
    </row>
    <row r="31" spans="1:47" x14ac:dyDescent="0.25">
      <c r="D31" s="120"/>
      <c r="F31" s="216"/>
      <c r="H31" s="120"/>
      <c r="J31" s="216"/>
      <c r="L31" s="120"/>
      <c r="N31" s="216"/>
      <c r="P31" s="120"/>
      <c r="R31" s="216"/>
      <c r="T31" s="120"/>
      <c r="V31" s="80"/>
      <c r="X31" s="120"/>
      <c r="AB31" s="120"/>
      <c r="AF31" s="120"/>
      <c r="AG31" s="120"/>
      <c r="AK31" s="403"/>
      <c r="AO31" s="131"/>
      <c r="AP31" s="131"/>
      <c r="AQ31" s="211"/>
      <c r="AR31" s="211"/>
      <c r="AS31" s="211"/>
      <c r="AT31" s="211"/>
      <c r="AU31" s="211"/>
    </row>
    <row r="32" spans="1:47" x14ac:dyDescent="0.25">
      <c r="D32" s="120"/>
      <c r="F32" s="216"/>
      <c r="H32" s="120"/>
      <c r="J32" s="216"/>
      <c r="L32" s="120"/>
      <c r="N32" s="216"/>
      <c r="P32" s="120"/>
      <c r="R32" s="216"/>
      <c r="T32" s="120"/>
      <c r="V32" s="80"/>
      <c r="X32" s="120"/>
      <c r="AB32" s="120"/>
      <c r="AF32" s="120"/>
      <c r="AG32" s="120"/>
      <c r="AK32" s="403"/>
      <c r="AO32" s="131"/>
      <c r="AP32" s="131"/>
      <c r="AQ32" s="211"/>
      <c r="AR32" s="211"/>
      <c r="AS32" s="211"/>
      <c r="AT32" s="211"/>
      <c r="AU32" s="211"/>
    </row>
    <row r="33" spans="4:47" x14ac:dyDescent="0.25">
      <c r="D33" s="120"/>
      <c r="F33" s="216"/>
      <c r="H33" s="120"/>
      <c r="J33" s="216"/>
      <c r="L33" s="120"/>
      <c r="N33" s="216"/>
      <c r="P33" s="120"/>
      <c r="R33" s="216"/>
      <c r="T33" s="120"/>
      <c r="V33" s="80"/>
      <c r="X33" s="120"/>
      <c r="AB33" s="120"/>
      <c r="AF33" s="120"/>
      <c r="AG33" s="120"/>
      <c r="AK33" s="403"/>
      <c r="AO33" s="212"/>
      <c r="AP33" s="212"/>
      <c r="AQ33" s="211"/>
      <c r="AR33" s="211"/>
      <c r="AS33" s="211"/>
      <c r="AT33" s="211"/>
      <c r="AU33" s="211"/>
    </row>
    <row r="34" spans="4:47" x14ac:dyDescent="0.25">
      <c r="D34" s="120"/>
      <c r="F34" s="216"/>
      <c r="H34" s="120"/>
      <c r="J34" s="216"/>
      <c r="L34" s="120"/>
      <c r="N34" s="216"/>
      <c r="P34" s="120"/>
      <c r="R34" s="216"/>
      <c r="T34" s="120"/>
      <c r="V34" s="80"/>
      <c r="X34" s="120"/>
      <c r="AB34" s="120"/>
      <c r="AF34" s="120"/>
      <c r="AG34" s="120"/>
      <c r="AK34" s="403"/>
      <c r="AO34" s="212"/>
      <c r="AP34" s="212"/>
      <c r="AQ34" s="211"/>
      <c r="AR34" s="211"/>
      <c r="AS34" s="211"/>
      <c r="AT34" s="211"/>
      <c r="AU34" s="211"/>
    </row>
    <row r="35" spans="4:47" x14ac:dyDescent="0.25">
      <c r="D35" s="120"/>
      <c r="F35" s="216"/>
      <c r="H35" s="120"/>
      <c r="J35" s="216"/>
      <c r="L35" s="120"/>
      <c r="N35" s="216"/>
      <c r="P35" s="120"/>
      <c r="R35" s="216"/>
      <c r="T35" s="120"/>
      <c r="V35" s="80"/>
      <c r="X35" s="120"/>
      <c r="AB35" s="120"/>
      <c r="AF35" s="120"/>
      <c r="AG35" s="120"/>
      <c r="AK35" s="403"/>
      <c r="AO35" s="212"/>
      <c r="AP35" s="212"/>
      <c r="AQ35" s="211"/>
      <c r="AR35" s="211"/>
      <c r="AS35" s="211"/>
      <c r="AT35" s="211"/>
      <c r="AU35" s="211"/>
    </row>
    <row r="36" spans="4:47" x14ac:dyDescent="0.25">
      <c r="D36" s="120"/>
      <c r="F36" s="216"/>
      <c r="H36" s="120"/>
      <c r="J36" s="216"/>
      <c r="L36" s="120"/>
      <c r="N36" s="216"/>
      <c r="P36" s="120"/>
      <c r="R36" s="216"/>
      <c r="T36" s="120"/>
      <c r="V36" s="80"/>
      <c r="X36" s="120"/>
      <c r="AB36" s="120"/>
      <c r="AF36" s="120"/>
      <c r="AG36" s="120"/>
      <c r="AK36" s="403"/>
      <c r="AO36" s="212"/>
      <c r="AP36" s="212"/>
      <c r="AQ36" s="211"/>
      <c r="AR36" s="211"/>
      <c r="AS36" s="211"/>
      <c r="AT36" s="211"/>
      <c r="AU36" s="211"/>
    </row>
    <row r="37" spans="4:47" x14ac:dyDescent="0.25">
      <c r="D37" s="120"/>
      <c r="F37" s="216"/>
      <c r="H37" s="120"/>
      <c r="J37" s="216"/>
      <c r="L37" s="120"/>
      <c r="N37" s="216"/>
      <c r="P37" s="120"/>
      <c r="R37" s="216"/>
      <c r="T37" s="120"/>
      <c r="V37" s="80"/>
      <c r="X37" s="120"/>
      <c r="AB37" s="120"/>
      <c r="AF37" s="120"/>
      <c r="AG37" s="120"/>
      <c r="AK37" s="403"/>
      <c r="AO37" s="212"/>
      <c r="AP37" s="212"/>
      <c r="AQ37" s="211"/>
      <c r="AR37" s="211"/>
      <c r="AS37" s="211"/>
      <c r="AT37" s="211"/>
      <c r="AU37" s="211"/>
    </row>
    <row r="38" spans="4:47" x14ac:dyDescent="0.25">
      <c r="D38" s="120"/>
      <c r="F38" s="216"/>
      <c r="H38" s="120"/>
      <c r="J38" s="216"/>
      <c r="L38" s="120"/>
      <c r="N38" s="216"/>
      <c r="P38" s="120"/>
      <c r="R38" s="216"/>
      <c r="T38" s="120"/>
      <c r="V38" s="80"/>
      <c r="X38" s="120"/>
      <c r="AB38" s="120"/>
      <c r="AF38" s="120"/>
      <c r="AG38" s="120"/>
      <c r="AK38" s="403"/>
      <c r="AO38" s="212"/>
      <c r="AP38" s="212"/>
      <c r="AQ38" s="211"/>
      <c r="AR38" s="211"/>
      <c r="AS38" s="211"/>
      <c r="AT38" s="211"/>
      <c r="AU38" s="211"/>
    </row>
    <row r="39" spans="4:47" x14ac:dyDescent="0.25">
      <c r="D39" s="120"/>
      <c r="F39" s="216"/>
      <c r="H39" s="120"/>
      <c r="J39" s="216"/>
      <c r="L39" s="120"/>
      <c r="N39" s="216"/>
      <c r="P39" s="120"/>
      <c r="R39" s="216"/>
      <c r="T39" s="120"/>
      <c r="V39" s="80"/>
      <c r="X39" s="120"/>
      <c r="AB39" s="120"/>
      <c r="AF39" s="120"/>
      <c r="AG39" s="120"/>
      <c r="AK39" s="403"/>
      <c r="AO39" s="212"/>
      <c r="AP39" s="212"/>
      <c r="AQ39" s="211"/>
      <c r="AR39" s="211"/>
      <c r="AS39" s="211"/>
      <c r="AT39" s="211"/>
      <c r="AU39" s="211"/>
    </row>
    <row r="40" spans="4:47" x14ac:dyDescent="0.25">
      <c r="D40" s="120"/>
      <c r="F40" s="216"/>
      <c r="H40" s="120"/>
      <c r="J40" s="216"/>
      <c r="L40" s="120"/>
      <c r="N40" s="216"/>
      <c r="P40" s="120"/>
      <c r="R40" s="216"/>
      <c r="T40" s="120"/>
      <c r="V40" s="80"/>
      <c r="X40" s="120"/>
      <c r="AB40" s="120"/>
      <c r="AF40" s="120"/>
      <c r="AG40" s="120"/>
      <c r="AK40" s="403"/>
      <c r="AO40" s="212"/>
      <c r="AP40" s="212"/>
      <c r="AQ40" s="211"/>
      <c r="AR40" s="211"/>
      <c r="AS40" s="211"/>
      <c r="AT40" s="211"/>
      <c r="AU40" s="211"/>
    </row>
    <row r="41" spans="4:47" x14ac:dyDescent="0.25">
      <c r="D41" s="120"/>
      <c r="F41" s="216"/>
      <c r="H41" s="120"/>
      <c r="J41" s="216"/>
      <c r="L41" s="120"/>
      <c r="N41" s="216"/>
      <c r="P41" s="120"/>
      <c r="R41" s="216"/>
      <c r="T41" s="120"/>
      <c r="V41" s="80"/>
      <c r="X41" s="120"/>
      <c r="AB41" s="120"/>
      <c r="AF41" s="120"/>
      <c r="AG41" s="120"/>
      <c r="AK41" s="403"/>
      <c r="AO41" s="212"/>
      <c r="AP41" s="212"/>
      <c r="AQ41" s="211"/>
      <c r="AR41" s="211"/>
      <c r="AS41" s="211"/>
      <c r="AT41" s="211"/>
      <c r="AU41" s="211"/>
    </row>
    <row r="42" spans="4:47" x14ac:dyDescent="0.25">
      <c r="D42" s="120"/>
      <c r="H42" s="120"/>
      <c r="L42" s="120"/>
      <c r="P42" s="120"/>
      <c r="T42" s="120"/>
      <c r="X42" s="120"/>
      <c r="AB42" s="120"/>
      <c r="AF42" s="120"/>
      <c r="AG42" s="120"/>
      <c r="AK42" s="403"/>
      <c r="AO42" s="212"/>
      <c r="AP42" s="212"/>
      <c r="AQ42" s="211"/>
      <c r="AR42" s="211"/>
      <c r="AS42" s="211"/>
      <c r="AT42" s="211"/>
      <c r="AU42" s="211"/>
    </row>
    <row r="43" spans="4:47" x14ac:dyDescent="0.25">
      <c r="D43" s="120"/>
      <c r="H43" s="120"/>
      <c r="L43" s="120"/>
      <c r="P43" s="120"/>
      <c r="T43" s="120"/>
      <c r="X43" s="120"/>
      <c r="AB43" s="120"/>
      <c r="AF43" s="120"/>
      <c r="AG43" s="120"/>
      <c r="AK43" s="403"/>
      <c r="AO43" s="212"/>
      <c r="AP43" s="212"/>
      <c r="AQ43" s="211"/>
      <c r="AR43" s="211"/>
      <c r="AS43" s="211"/>
      <c r="AT43" s="211"/>
      <c r="AU43" s="211"/>
    </row>
    <row r="44" spans="4:47" x14ac:dyDescent="0.25">
      <c r="D44" s="120"/>
      <c r="H44" s="120"/>
      <c r="L44" s="120"/>
      <c r="P44" s="120"/>
      <c r="T44" s="120"/>
      <c r="X44" s="120"/>
      <c r="AB44" s="120"/>
      <c r="AF44" s="120"/>
      <c r="AG44" s="120"/>
      <c r="AK44" s="403"/>
      <c r="AO44" s="212"/>
      <c r="AP44" s="212"/>
      <c r="AQ44" s="211"/>
      <c r="AR44" s="211"/>
      <c r="AS44" s="211"/>
      <c r="AT44" s="211"/>
      <c r="AU44" s="211"/>
    </row>
    <row r="45" spans="4:47" x14ac:dyDescent="0.25">
      <c r="D45" s="120"/>
      <c r="H45" s="120"/>
      <c r="L45" s="120"/>
      <c r="P45" s="120"/>
      <c r="T45" s="120"/>
      <c r="X45" s="120"/>
      <c r="AB45" s="120"/>
      <c r="AF45" s="120"/>
      <c r="AG45" s="120"/>
      <c r="AK45" s="403"/>
      <c r="AO45" s="212"/>
      <c r="AP45" s="212"/>
      <c r="AQ45" s="211"/>
      <c r="AR45" s="211"/>
      <c r="AS45" s="211"/>
      <c r="AT45" s="211"/>
      <c r="AU45" s="211"/>
    </row>
    <row r="46" spans="4:47" x14ac:dyDescent="0.25">
      <c r="D46" s="120"/>
      <c r="H46" s="120"/>
      <c r="L46" s="120"/>
      <c r="P46" s="120"/>
      <c r="T46" s="120"/>
      <c r="X46" s="120"/>
      <c r="AB46" s="120"/>
      <c r="AF46" s="120"/>
      <c r="AG46" s="120"/>
      <c r="AK46" s="403"/>
      <c r="AO46" s="212"/>
      <c r="AP46" s="212"/>
      <c r="AQ46" s="211"/>
      <c r="AR46" s="211"/>
      <c r="AS46" s="211"/>
      <c r="AT46" s="211"/>
      <c r="AU46" s="211"/>
    </row>
    <row r="47" spans="4:47" x14ac:dyDescent="0.25">
      <c r="D47" s="120"/>
      <c r="H47" s="120"/>
      <c r="L47" s="120"/>
      <c r="P47" s="120"/>
      <c r="T47" s="120"/>
      <c r="X47" s="120"/>
      <c r="AB47" s="120"/>
      <c r="AF47" s="120"/>
      <c r="AG47" s="120"/>
      <c r="AK47" s="403"/>
      <c r="AO47" s="212"/>
      <c r="AP47" s="212"/>
      <c r="AQ47" s="211"/>
      <c r="AR47" s="211"/>
      <c r="AS47" s="211"/>
      <c r="AT47" s="211"/>
      <c r="AU47" s="211"/>
    </row>
    <row r="48" spans="4:47" x14ac:dyDescent="0.25">
      <c r="D48" s="120"/>
      <c r="H48" s="120"/>
      <c r="L48" s="120"/>
      <c r="P48" s="120"/>
      <c r="T48" s="120"/>
      <c r="X48" s="120"/>
      <c r="AB48" s="120"/>
      <c r="AF48" s="120"/>
      <c r="AG48" s="120"/>
      <c r="AK48" s="403"/>
      <c r="AO48" s="212"/>
      <c r="AP48" s="212"/>
      <c r="AQ48" s="211"/>
      <c r="AR48" s="211"/>
      <c r="AS48" s="211"/>
      <c r="AT48" s="211"/>
      <c r="AU48" s="211"/>
    </row>
    <row r="49" spans="4:47" x14ac:dyDescent="0.25">
      <c r="D49" s="120"/>
      <c r="H49" s="120"/>
      <c r="L49" s="120"/>
      <c r="P49" s="120"/>
      <c r="T49" s="120"/>
      <c r="X49" s="120"/>
      <c r="AB49" s="120"/>
      <c r="AF49" s="120"/>
      <c r="AG49" s="120"/>
      <c r="AK49" s="403"/>
      <c r="AO49" s="212"/>
      <c r="AP49" s="212"/>
      <c r="AQ49" s="211"/>
      <c r="AR49" s="211"/>
      <c r="AS49" s="211"/>
      <c r="AT49" s="211"/>
      <c r="AU49" s="211"/>
    </row>
    <row r="50" spans="4:47" x14ac:dyDescent="0.25">
      <c r="D50" s="120"/>
      <c r="H50" s="120"/>
      <c r="L50" s="120"/>
      <c r="P50" s="120"/>
      <c r="T50" s="120"/>
      <c r="X50" s="120"/>
      <c r="AB50" s="120"/>
      <c r="AF50" s="120"/>
      <c r="AG50" s="120"/>
      <c r="AK50" s="403"/>
      <c r="AO50" s="212"/>
      <c r="AP50" s="212"/>
      <c r="AQ50" s="211"/>
      <c r="AR50" s="211"/>
      <c r="AS50" s="211"/>
      <c r="AT50" s="211"/>
      <c r="AU50" s="211"/>
    </row>
    <row r="51" spans="4:47" x14ac:dyDescent="0.25">
      <c r="D51" s="120"/>
      <c r="H51" s="120"/>
      <c r="L51" s="120"/>
      <c r="P51" s="120"/>
      <c r="T51" s="120"/>
      <c r="X51" s="120"/>
      <c r="AB51" s="120"/>
      <c r="AF51" s="120"/>
      <c r="AG51" s="120"/>
      <c r="AK51" s="403"/>
      <c r="AO51" s="212"/>
      <c r="AP51" s="212"/>
      <c r="AQ51" s="211"/>
      <c r="AR51" s="211"/>
      <c r="AS51" s="211"/>
      <c r="AT51" s="211"/>
      <c r="AU51" s="211"/>
    </row>
    <row r="52" spans="4:47" x14ac:dyDescent="0.25">
      <c r="D52" s="120"/>
      <c r="H52" s="120"/>
      <c r="L52" s="120"/>
      <c r="P52" s="120"/>
      <c r="T52" s="120"/>
      <c r="X52" s="120"/>
      <c r="AB52" s="120"/>
      <c r="AF52" s="120"/>
      <c r="AG52" s="120"/>
      <c r="AK52" s="403"/>
      <c r="AO52" s="212"/>
      <c r="AP52" s="212"/>
      <c r="AQ52" s="211"/>
      <c r="AR52" s="211"/>
      <c r="AS52" s="211"/>
      <c r="AT52" s="211"/>
      <c r="AU52" s="211"/>
    </row>
    <row r="53" spans="4:47" x14ac:dyDescent="0.25">
      <c r="D53" s="120"/>
      <c r="H53" s="120"/>
      <c r="L53" s="120"/>
      <c r="P53" s="120"/>
      <c r="T53" s="120"/>
      <c r="X53" s="120"/>
      <c r="AB53" s="120"/>
      <c r="AF53" s="120"/>
      <c r="AG53" s="120"/>
      <c r="AK53" s="403"/>
      <c r="AO53" s="212"/>
      <c r="AP53" s="212"/>
      <c r="AQ53" s="211"/>
      <c r="AR53" s="211"/>
      <c r="AS53" s="211"/>
      <c r="AT53" s="211"/>
      <c r="AU53" s="211"/>
    </row>
    <row r="54" spans="4:47" x14ac:dyDescent="0.25">
      <c r="D54" s="120"/>
      <c r="H54" s="120"/>
      <c r="L54" s="120"/>
      <c r="P54" s="120"/>
      <c r="T54" s="120"/>
      <c r="X54" s="120"/>
      <c r="AB54" s="120"/>
      <c r="AF54" s="120"/>
      <c r="AG54" s="120"/>
      <c r="AK54" s="403"/>
      <c r="AO54" s="212"/>
      <c r="AP54" s="212"/>
      <c r="AQ54" s="211"/>
      <c r="AR54" s="211"/>
      <c r="AS54" s="211"/>
      <c r="AT54" s="211"/>
      <c r="AU54" s="211"/>
    </row>
    <row r="55" spans="4:47" x14ac:dyDescent="0.25">
      <c r="D55" s="120"/>
      <c r="H55" s="120"/>
      <c r="L55" s="120"/>
      <c r="P55" s="120"/>
      <c r="T55" s="120"/>
      <c r="X55" s="120"/>
      <c r="AB55" s="120"/>
      <c r="AF55" s="120"/>
      <c r="AG55" s="120"/>
      <c r="AK55" s="403"/>
      <c r="AO55" s="212"/>
      <c r="AP55" s="212"/>
      <c r="AQ55" s="211"/>
      <c r="AR55" s="211"/>
      <c r="AS55" s="211"/>
      <c r="AT55" s="211"/>
      <c r="AU55" s="211"/>
    </row>
    <row r="56" spans="4:47" x14ac:dyDescent="0.25">
      <c r="D56" s="120"/>
      <c r="H56" s="120"/>
      <c r="L56" s="120"/>
      <c r="P56" s="120"/>
      <c r="T56" s="120"/>
      <c r="X56" s="120"/>
      <c r="AB56" s="120"/>
      <c r="AF56" s="120"/>
      <c r="AG56" s="120"/>
      <c r="AK56" s="403"/>
      <c r="AO56" s="212"/>
      <c r="AP56" s="212"/>
      <c r="AQ56" s="211"/>
      <c r="AR56" s="211"/>
      <c r="AS56" s="211"/>
      <c r="AT56" s="211"/>
      <c r="AU56" s="211"/>
    </row>
    <row r="57" spans="4:47" x14ac:dyDescent="0.25">
      <c r="D57" s="120"/>
      <c r="H57" s="120"/>
      <c r="L57" s="120"/>
      <c r="P57" s="120"/>
      <c r="T57" s="120"/>
      <c r="X57" s="120"/>
      <c r="AB57" s="120"/>
      <c r="AF57" s="120"/>
      <c r="AG57" s="120"/>
      <c r="AK57" s="403"/>
      <c r="AO57" s="212"/>
      <c r="AP57" s="212"/>
      <c r="AQ57" s="211"/>
      <c r="AR57" s="211"/>
      <c r="AS57" s="211"/>
      <c r="AT57" s="211"/>
      <c r="AU57" s="211"/>
    </row>
    <row r="58" spans="4:47" x14ac:dyDescent="0.25">
      <c r="D58" s="120"/>
      <c r="H58" s="120"/>
      <c r="L58" s="120"/>
      <c r="P58" s="120"/>
      <c r="T58" s="120"/>
      <c r="X58" s="120"/>
      <c r="AB58" s="120"/>
      <c r="AF58" s="120"/>
      <c r="AG58" s="120"/>
      <c r="AK58" s="403"/>
      <c r="AO58" s="212"/>
      <c r="AP58" s="212"/>
      <c r="AQ58" s="211"/>
      <c r="AR58" s="211"/>
      <c r="AS58" s="211"/>
      <c r="AT58" s="211"/>
      <c r="AU58" s="211"/>
    </row>
    <row r="59" spans="4:47" x14ac:dyDescent="0.25">
      <c r="D59" s="120"/>
      <c r="H59" s="120"/>
      <c r="L59" s="120"/>
      <c r="P59" s="120"/>
      <c r="T59" s="120"/>
      <c r="X59" s="120"/>
      <c r="AB59" s="120"/>
      <c r="AF59" s="120"/>
      <c r="AG59" s="120"/>
      <c r="AK59" s="403"/>
    </row>
    <row r="60" spans="4:47" x14ac:dyDescent="0.25">
      <c r="D60" s="120"/>
      <c r="H60" s="120"/>
      <c r="L60" s="120"/>
      <c r="P60" s="120"/>
      <c r="T60" s="120"/>
      <c r="X60" s="120"/>
      <c r="AB60" s="120"/>
      <c r="AF60" s="120"/>
      <c r="AG60" s="120"/>
      <c r="AK60" s="403"/>
    </row>
    <row r="61" spans="4:47" x14ac:dyDescent="0.25">
      <c r="D61" s="120"/>
      <c r="H61" s="120"/>
      <c r="L61" s="120"/>
      <c r="P61" s="120"/>
      <c r="T61" s="120"/>
      <c r="X61" s="120"/>
      <c r="AB61" s="120"/>
      <c r="AF61" s="120"/>
      <c r="AG61" s="120"/>
      <c r="AK61" s="403"/>
    </row>
    <row r="62" spans="4:47" x14ac:dyDescent="0.25">
      <c r="D62" s="120"/>
      <c r="H62" s="120"/>
      <c r="L62" s="120"/>
      <c r="P62" s="120"/>
      <c r="T62" s="120"/>
      <c r="X62" s="120"/>
      <c r="AB62" s="120"/>
      <c r="AF62" s="120"/>
      <c r="AG62" s="120"/>
      <c r="AK62" s="403"/>
    </row>
    <row r="63" spans="4:47" x14ac:dyDescent="0.25">
      <c r="D63" s="120"/>
      <c r="H63" s="120"/>
      <c r="L63" s="120"/>
      <c r="P63" s="120"/>
      <c r="T63" s="120"/>
      <c r="X63" s="120"/>
      <c r="AB63" s="120"/>
      <c r="AF63" s="120"/>
      <c r="AG63" s="120"/>
      <c r="AK63" s="403"/>
    </row>
    <row r="64" spans="4:4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0" orientation="landscape" r:id="rId1"/>
  <headerFooter alignWithMargins="0">
    <oddHeader>&amp;C&amp;"-,Bold"Proposed Budget &amp; Analysis Report for FY20</oddHeader>
    <oddFooter>&amp;C&amp;D&amp;T&amp;R&amp;A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3:AS377"/>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1" style="161" customWidth="1"/>
    <col min="4" max="4" width="13.28515625" style="211" hidden="1" customWidth="1"/>
    <col min="5" max="5" width="11.42578125" style="211" hidden="1" customWidth="1"/>
    <col min="6" max="6" width="7.7109375" style="211" hidden="1" customWidth="1"/>
    <col min="7" max="7" width="2.140625" style="213" hidden="1" customWidth="1"/>
    <col min="8" max="8" width="13.28515625" style="211" hidden="1" customWidth="1"/>
    <col min="9" max="9" width="11.42578125" style="211" hidden="1" customWidth="1"/>
    <col min="10" max="10" width="7.7109375" style="211" hidden="1" customWidth="1"/>
    <col min="11" max="11" width="2.140625" style="213" hidden="1" customWidth="1"/>
    <col min="12" max="12" width="13.28515625" style="211" hidden="1" customWidth="1"/>
    <col min="13" max="13" width="11.42578125" style="211" hidden="1" customWidth="1"/>
    <col min="14" max="14" width="7.7109375" style="211" hidden="1" customWidth="1"/>
    <col min="15" max="15" width="2.140625" style="213" hidden="1" customWidth="1"/>
    <col min="16" max="16" width="13.28515625" style="211" hidden="1" customWidth="1"/>
    <col min="17" max="17" width="11.42578125" style="211" hidden="1" customWidth="1"/>
    <col min="18" max="18" width="7.7109375" style="211" hidden="1" customWidth="1"/>
    <col min="19" max="19" width="2.140625" style="213" hidden="1" customWidth="1"/>
    <col min="20" max="20" width="13.28515625" style="161" hidden="1" customWidth="1"/>
    <col min="21" max="21" width="11.42578125" style="161" hidden="1" customWidth="1"/>
    <col min="22" max="22" width="7.7109375" style="161" hidden="1" customWidth="1"/>
    <col min="23" max="23" width="2.140625" style="103" hidden="1" customWidth="1"/>
    <col min="24" max="25" width="11.5703125" style="161" hidden="1" customWidth="1"/>
    <col min="26" max="26" width="9.28515625" style="161" hidden="1" customWidth="1"/>
    <col min="27" max="27" width="2.140625" style="103" hidden="1" customWidth="1"/>
    <col min="28" max="29" width="11.5703125" style="161" customWidth="1"/>
    <col min="30" max="30" width="9.28515625" style="161" bestFit="1" customWidth="1"/>
    <col min="31" max="31" width="2.140625" style="213" customWidth="1"/>
    <col min="32" max="32" width="10.5703125" style="211" hidden="1" customWidth="1"/>
    <col min="33" max="33" width="10.5703125" style="211" bestFit="1" customWidth="1"/>
    <col min="34"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2.140625" style="397" customWidth="1"/>
    <col min="41" max="41" width="13.5703125" style="104" customWidth="1"/>
    <col min="42" max="42" width="11.7109375" style="104" customWidth="1"/>
    <col min="43" max="43" width="10.5703125" style="161" bestFit="1" customWidth="1"/>
    <col min="44" max="44" width="31.28515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564" t="s">
        <v>1667</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425</v>
      </c>
      <c r="B6" s="119" t="str">
        <f>MID(A6,14,4)</f>
        <v>5108</v>
      </c>
      <c r="C6" s="161" t="s">
        <v>1721</v>
      </c>
      <c r="D6" s="245">
        <v>7692</v>
      </c>
      <c r="E6" s="245">
        <v>7675.11</v>
      </c>
      <c r="F6" s="216"/>
      <c r="H6" s="245">
        <v>8031</v>
      </c>
      <c r="I6" s="245">
        <v>8030.97</v>
      </c>
      <c r="J6" s="216"/>
      <c r="L6" s="245">
        <v>8552.9699999999993</v>
      </c>
      <c r="M6" s="245">
        <v>8520.2000000000007</v>
      </c>
      <c r="N6" s="216"/>
      <c r="P6" s="245">
        <v>9059.31</v>
      </c>
      <c r="Q6" s="245">
        <v>9033.2800000000007</v>
      </c>
      <c r="R6" s="216"/>
      <c r="T6" s="162">
        <v>9523.89</v>
      </c>
      <c r="U6" s="162">
        <v>9542.14</v>
      </c>
      <c r="V6" s="80"/>
      <c r="X6" s="162">
        <v>10021.5</v>
      </c>
      <c r="Y6" s="162">
        <v>10021.5</v>
      </c>
      <c r="Z6" s="80">
        <v>5.2248608499258248E-2</v>
      </c>
      <c r="AB6" s="162">
        <v>10432.17</v>
      </c>
      <c r="AC6" s="162">
        <v>10432.17</v>
      </c>
      <c r="AD6" s="80">
        <f>(AB6-X6)/X6</f>
        <v>4.0978895374943876E-2</v>
      </c>
      <c r="AF6" s="212">
        <v>10922.85</v>
      </c>
      <c r="AG6" s="380">
        <v>12199.14</v>
      </c>
      <c r="AH6" s="245">
        <v>12199.14</v>
      </c>
      <c r="AI6" s="216">
        <f>(AG6-AB6)/AB6</f>
        <v>0.16937703277458088</v>
      </c>
      <c r="AJ6" s="80"/>
      <c r="AK6" s="398">
        <v>12867.3</v>
      </c>
      <c r="AL6" s="398">
        <v>6162.5</v>
      </c>
      <c r="AM6" s="396">
        <f>(AK6-AG6)/AG6</f>
        <v>5.4771074026529733E-2</v>
      </c>
      <c r="AO6" s="163">
        <f>'FY20 Payroll Schedule'!J32</f>
        <v>13149.18</v>
      </c>
      <c r="AP6" s="104">
        <f>AO6-AK6</f>
        <v>281.88000000000102</v>
      </c>
      <c r="AQ6" s="396">
        <f>(AO6-AK6)/AK6</f>
        <v>2.1906693711967625E-2</v>
      </c>
      <c r="AR6" s="288" t="s">
        <v>1395</v>
      </c>
    </row>
    <row r="7" spans="1:44" x14ac:dyDescent="0.25">
      <c r="A7" s="119" t="s">
        <v>1068</v>
      </c>
      <c r="B7" s="119" t="str">
        <f>MID(A7,14,4)</f>
        <v>5142</v>
      </c>
      <c r="C7" s="161" t="s">
        <v>1455</v>
      </c>
      <c r="D7" s="245">
        <v>0</v>
      </c>
      <c r="E7" s="245">
        <v>0</v>
      </c>
      <c r="F7" s="216"/>
      <c r="H7" s="245">
        <v>0</v>
      </c>
      <c r="I7" s="245">
        <v>0</v>
      </c>
      <c r="J7" s="216"/>
      <c r="L7" s="245">
        <v>0</v>
      </c>
      <c r="M7" s="245">
        <v>0</v>
      </c>
      <c r="N7" s="216"/>
      <c r="P7" s="245">
        <v>0</v>
      </c>
      <c r="Q7" s="245">
        <v>0</v>
      </c>
      <c r="R7" s="216"/>
      <c r="T7" s="245">
        <v>0</v>
      </c>
      <c r="U7" s="245">
        <v>0</v>
      </c>
      <c r="V7" s="216"/>
      <c r="W7" s="213"/>
      <c r="X7" s="245">
        <v>100.22</v>
      </c>
      <c r="Y7" s="245">
        <v>100.22</v>
      </c>
      <c r="Z7" s="216" t="e">
        <v>#DIV/0!</v>
      </c>
      <c r="AA7" s="213"/>
      <c r="AB7" s="245">
        <v>104.32</v>
      </c>
      <c r="AC7" s="245">
        <v>104.32</v>
      </c>
      <c r="AD7" s="216">
        <f>(AB7-X7)/X7</f>
        <v>4.0909998004390283E-2</v>
      </c>
      <c r="AF7" s="212">
        <v>109.23</v>
      </c>
      <c r="AG7" s="380">
        <v>122.02</v>
      </c>
      <c r="AH7" s="245">
        <v>122.02</v>
      </c>
      <c r="AI7" s="216">
        <f t="shared" ref="AI7:AI20" si="0">(AG7-AB7)/AB7</f>
        <v>0.16967024539877304</v>
      </c>
      <c r="AJ7" s="80"/>
      <c r="AK7" s="398">
        <v>128.66999999999999</v>
      </c>
      <c r="AL7" s="398">
        <v>128.66999999999999</v>
      </c>
      <c r="AM7" s="396">
        <f>(AK7-AG7)/AG7</f>
        <v>5.4499262415997313E-2</v>
      </c>
      <c r="AO7" s="163">
        <f>'FY20 Payroll Schedule'!K32</f>
        <v>131.49180000000001</v>
      </c>
      <c r="AP7" s="399">
        <f>AO7-AK7</f>
        <v>2.8218000000000245</v>
      </c>
      <c r="AQ7" s="396">
        <f>(AO7-AK7)/AK7</f>
        <v>2.1930519934716911E-2</v>
      </c>
      <c r="AR7" s="288" t="s">
        <v>1165</v>
      </c>
    </row>
    <row r="8" spans="1:44" s="114" customFormat="1" x14ac:dyDescent="0.25">
      <c r="A8" s="224"/>
      <c r="B8" s="224"/>
      <c r="C8" s="224" t="s">
        <v>26</v>
      </c>
      <c r="D8" s="225">
        <f>SUM(D6)</f>
        <v>7692</v>
      </c>
      <c r="E8" s="225">
        <f>SUM(E6)</f>
        <v>7675.11</v>
      </c>
      <c r="F8" s="226">
        <v>6.5000000000000002E-2</v>
      </c>
      <c r="G8" s="224"/>
      <c r="H8" s="225">
        <f>SUM(H6)</f>
        <v>8031</v>
      </c>
      <c r="I8" s="225">
        <f>SUM(I6)</f>
        <v>8030.97</v>
      </c>
      <c r="J8" s="226">
        <v>6.5000000000000002E-2</v>
      </c>
      <c r="K8" s="224"/>
      <c r="L8" s="225">
        <f>SUM(L6)</f>
        <v>8552.9699999999993</v>
      </c>
      <c r="M8" s="225">
        <f>SUM(M6)</f>
        <v>8520.2000000000007</v>
      </c>
      <c r="N8" s="226">
        <v>6.5000000000000002E-2</v>
      </c>
      <c r="O8" s="224"/>
      <c r="P8" s="225">
        <f>SUM(P6)</f>
        <v>9059.31</v>
      </c>
      <c r="Q8" s="225">
        <f>SUM(Q6)</f>
        <v>9033.2800000000007</v>
      </c>
      <c r="R8" s="226">
        <v>6.5000000000000002E-2</v>
      </c>
      <c r="S8" s="224"/>
      <c r="T8" s="225">
        <f>SUM(T6)</f>
        <v>9523.89</v>
      </c>
      <c r="U8" s="225">
        <f>SUM(U6)</f>
        <v>9542.14</v>
      </c>
      <c r="V8" s="226">
        <v>6.5000000000000002E-2</v>
      </c>
      <c r="W8" s="224"/>
      <c r="X8" s="225">
        <f>SUM(X6:X7)</f>
        <v>10121.719999999999</v>
      </c>
      <c r="Y8" s="225">
        <f>SUM(Y6:Y7)</f>
        <v>10121.719999999999</v>
      </c>
      <c r="Z8" s="226">
        <f>(X8-T8)/T8</f>
        <v>6.2771619579814544E-2</v>
      </c>
      <c r="AA8" s="224"/>
      <c r="AB8" s="225">
        <f>SUM(AB6:AB7)</f>
        <v>10536.49</v>
      </c>
      <c r="AC8" s="225">
        <f>SUM(AC6:AC7)</f>
        <v>10536.49</v>
      </c>
      <c r="AD8" s="226">
        <f>(AB8-X8)/X8</f>
        <v>4.0978213189062772E-2</v>
      </c>
      <c r="AE8" s="224"/>
      <c r="AF8" s="225">
        <f>SUM(AF6:AF7)</f>
        <v>11032.08</v>
      </c>
      <c r="AG8" s="382">
        <f>SUM(AG6:AG7)</f>
        <v>12321.16</v>
      </c>
      <c r="AH8" s="225">
        <f>SUM(AH6:AH7)</f>
        <v>12321.16</v>
      </c>
      <c r="AI8" s="226">
        <f t="shared" si="0"/>
        <v>0.16937993582303026</v>
      </c>
      <c r="AJ8" s="226"/>
      <c r="AK8" s="225">
        <f>SUM(AK6:AK7)</f>
        <v>12995.97</v>
      </c>
      <c r="AL8" s="225">
        <f>SUM(AL6:AL7)</f>
        <v>6291.17</v>
      </c>
      <c r="AM8" s="226">
        <f>(AK8-AG8)/AG8</f>
        <v>5.476838219778004E-2</v>
      </c>
      <c r="AN8" s="224"/>
      <c r="AO8" s="225">
        <f>SUM(AO6:AO7)</f>
        <v>13280.6718</v>
      </c>
      <c r="AP8" s="225">
        <f>SUM(AP6:AP7)</f>
        <v>284.70180000000107</v>
      </c>
      <c r="AQ8" s="226">
        <f>(AO8-AK8)/AK8</f>
        <v>2.1906929609717532E-2</v>
      </c>
      <c r="AR8" s="224"/>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Q10" s="396"/>
      <c r="AR10" s="111"/>
    </row>
    <row r="11" spans="1:44" s="211" customFormat="1" x14ac:dyDescent="0.25">
      <c r="A11" s="214" t="s">
        <v>1212</v>
      </c>
      <c r="B11" s="214" t="str">
        <f>MID(A11,14,4)</f>
        <v>5305</v>
      </c>
      <c r="C11" s="211" t="s">
        <v>1722</v>
      </c>
      <c r="D11" s="245">
        <v>0</v>
      </c>
      <c r="E11" s="245">
        <v>0</v>
      </c>
      <c r="F11" s="216"/>
      <c r="G11" s="213"/>
      <c r="H11" s="245">
        <v>0</v>
      </c>
      <c r="I11" s="245">
        <v>0</v>
      </c>
      <c r="J11" s="216"/>
      <c r="K11" s="213"/>
      <c r="L11" s="245">
        <v>0</v>
      </c>
      <c r="M11" s="245">
        <v>0</v>
      </c>
      <c r="N11" s="216"/>
      <c r="O11" s="213"/>
      <c r="P11" s="245">
        <v>0</v>
      </c>
      <c r="Q11" s="245">
        <v>0</v>
      </c>
      <c r="R11" s="216"/>
      <c r="S11" s="213"/>
      <c r="T11" s="245">
        <v>0</v>
      </c>
      <c r="U11" s="245">
        <v>0</v>
      </c>
      <c r="V11" s="216"/>
      <c r="W11" s="213"/>
      <c r="X11" s="245">
        <v>3900</v>
      </c>
      <c r="Y11" s="245">
        <v>322.5</v>
      </c>
      <c r="Z11" s="216" t="e">
        <v>#DIV/0!</v>
      </c>
      <c r="AA11" s="213"/>
      <c r="AB11" s="245">
        <v>3900</v>
      </c>
      <c r="AC11" s="245">
        <v>282</v>
      </c>
      <c r="AD11" s="216">
        <f t="shared" ref="AD11:AD17" si="1">(AB11-X11)/X11</f>
        <v>0</v>
      </c>
      <c r="AE11" s="213"/>
      <c r="AF11" s="245">
        <v>2000</v>
      </c>
      <c r="AG11" s="245">
        <v>2000</v>
      </c>
      <c r="AH11" s="245">
        <v>77</v>
      </c>
      <c r="AI11" s="216">
        <f t="shared" si="0"/>
        <v>-0.48717948717948717</v>
      </c>
      <c r="AJ11" s="216"/>
      <c r="AK11" s="398">
        <v>2000</v>
      </c>
      <c r="AL11" s="398">
        <v>0</v>
      </c>
      <c r="AM11" s="396">
        <f t="shared" ref="AM11:AM17" si="2">(AK11-AG11)/AG11</f>
        <v>0</v>
      </c>
      <c r="AN11" s="397"/>
      <c r="AO11" s="157">
        <v>1200</v>
      </c>
      <c r="AP11" s="399">
        <f t="shared" ref="AP11:AP17" si="3">AO11-AK11</f>
        <v>-800</v>
      </c>
      <c r="AQ11" s="396">
        <f t="shared" ref="AQ11:AQ17" si="4">(AO11-AK11)/AK11</f>
        <v>-0.4</v>
      </c>
      <c r="AR11" s="289" t="s">
        <v>1965</v>
      </c>
    </row>
    <row r="12" spans="1:44" s="211" customFormat="1" x14ac:dyDescent="0.25">
      <c r="A12" s="211" t="s">
        <v>426</v>
      </c>
      <c r="B12" s="214" t="str">
        <f>MID(A12,14,4)</f>
        <v>5306</v>
      </c>
      <c r="C12" s="211" t="s">
        <v>1599</v>
      </c>
      <c r="D12" s="245">
        <v>100</v>
      </c>
      <c r="E12" s="245">
        <v>122.5</v>
      </c>
      <c r="F12" s="216"/>
      <c r="G12" s="213"/>
      <c r="H12" s="245">
        <v>100</v>
      </c>
      <c r="I12" s="245">
        <v>116.5</v>
      </c>
      <c r="J12" s="216"/>
      <c r="K12" s="213"/>
      <c r="L12" s="245">
        <v>100</v>
      </c>
      <c r="M12" s="245">
        <v>140.1</v>
      </c>
      <c r="N12" s="216"/>
      <c r="O12" s="213"/>
      <c r="P12" s="245">
        <v>150</v>
      </c>
      <c r="Q12" s="245">
        <v>223.3</v>
      </c>
      <c r="R12" s="216"/>
      <c r="S12" s="213"/>
      <c r="T12" s="245">
        <v>100</v>
      </c>
      <c r="U12" s="245">
        <v>429.8</v>
      </c>
      <c r="V12" s="216"/>
      <c r="W12" s="213"/>
      <c r="X12" s="245">
        <v>100</v>
      </c>
      <c r="Y12" s="245">
        <v>120.25</v>
      </c>
      <c r="Z12" s="216">
        <v>0</v>
      </c>
      <c r="AA12" s="213"/>
      <c r="AB12" s="245">
        <v>100</v>
      </c>
      <c r="AC12" s="245">
        <v>73.849999999999994</v>
      </c>
      <c r="AD12" s="216">
        <f t="shared" si="1"/>
        <v>0</v>
      </c>
      <c r="AE12" s="213"/>
      <c r="AF12" s="245">
        <v>100</v>
      </c>
      <c r="AG12" s="245">
        <v>100</v>
      </c>
      <c r="AH12" s="245">
        <v>45.15</v>
      </c>
      <c r="AI12" s="216">
        <f t="shared" si="0"/>
        <v>0</v>
      </c>
      <c r="AJ12" s="216"/>
      <c r="AK12" s="398">
        <v>100</v>
      </c>
      <c r="AL12" s="398">
        <v>157.5</v>
      </c>
      <c r="AM12" s="396">
        <f t="shared" si="2"/>
        <v>0</v>
      </c>
      <c r="AN12" s="397"/>
      <c r="AO12" s="157">
        <v>100</v>
      </c>
      <c r="AP12" s="399">
        <f t="shared" si="3"/>
        <v>0</v>
      </c>
      <c r="AQ12" s="396">
        <f t="shared" si="4"/>
        <v>0</v>
      </c>
      <c r="AR12" s="289"/>
    </row>
    <row r="13" spans="1:44" s="211" customFormat="1" x14ac:dyDescent="0.25">
      <c r="A13" s="211" t="s">
        <v>427</v>
      </c>
      <c r="B13" s="214">
        <v>5343</v>
      </c>
      <c r="C13" s="211" t="s">
        <v>1723</v>
      </c>
      <c r="D13" s="245">
        <v>0</v>
      </c>
      <c r="E13" s="245">
        <v>0</v>
      </c>
      <c r="F13" s="216"/>
      <c r="G13" s="213"/>
      <c r="H13" s="245">
        <v>0</v>
      </c>
      <c r="I13" s="245">
        <v>0</v>
      </c>
      <c r="J13" s="216"/>
      <c r="K13" s="213"/>
      <c r="L13" s="245">
        <v>0</v>
      </c>
      <c r="M13" s="245">
        <v>0</v>
      </c>
      <c r="N13" s="216"/>
      <c r="O13" s="213"/>
      <c r="P13" s="245">
        <v>0</v>
      </c>
      <c r="Q13" s="245">
        <v>0</v>
      </c>
      <c r="R13" s="216"/>
      <c r="S13" s="213"/>
      <c r="T13" s="245">
        <v>0</v>
      </c>
      <c r="U13" s="245">
        <v>0</v>
      </c>
      <c r="V13" s="216"/>
      <c r="W13" s="213"/>
      <c r="X13" s="245">
        <v>0</v>
      </c>
      <c r="Y13" s="245">
        <v>0</v>
      </c>
      <c r="Z13" s="216" t="e">
        <v>#DIV/0!</v>
      </c>
      <c r="AA13" s="213"/>
      <c r="AB13" s="245">
        <v>0</v>
      </c>
      <c r="AC13" s="245">
        <v>0</v>
      </c>
      <c r="AD13" s="216" t="e">
        <f t="shared" si="1"/>
        <v>#DIV/0!</v>
      </c>
      <c r="AE13" s="213"/>
      <c r="AF13" s="245" t="e">
        <f ca="1">_xll.GL($A13,DATA!$M$5,DATA!$A$1,DATA!$M$6,DATA!$M$7)</f>
        <v>#NAME?</v>
      </c>
      <c r="AG13" s="245">
        <v>0</v>
      </c>
      <c r="AH13" s="245"/>
      <c r="AI13" s="216" t="e">
        <f t="shared" si="0"/>
        <v>#DIV/0!</v>
      </c>
      <c r="AJ13" s="216"/>
      <c r="AK13" s="398">
        <v>0</v>
      </c>
      <c r="AL13" s="398"/>
      <c r="AM13" s="396" t="e">
        <f t="shared" si="2"/>
        <v>#DIV/0!</v>
      </c>
      <c r="AN13" s="397"/>
      <c r="AO13" s="157">
        <v>0</v>
      </c>
      <c r="AP13" s="399">
        <f t="shared" si="3"/>
        <v>0</v>
      </c>
      <c r="AQ13" s="396" t="e">
        <f t="shared" si="4"/>
        <v>#DIV/0!</v>
      </c>
      <c r="AR13" s="289"/>
    </row>
    <row r="14" spans="1:44" s="211" customFormat="1" x14ac:dyDescent="0.25">
      <c r="A14" s="395" t="s">
        <v>1481</v>
      </c>
      <c r="B14" s="395" t="str">
        <f>MID(A14,14,4)</f>
        <v>5344</v>
      </c>
      <c r="C14" s="211" t="s">
        <v>1601</v>
      </c>
      <c r="D14" s="245">
        <v>0</v>
      </c>
      <c r="E14" s="245">
        <v>0</v>
      </c>
      <c r="F14" s="216"/>
      <c r="G14" s="213"/>
      <c r="H14" s="245">
        <v>0</v>
      </c>
      <c r="I14" s="245">
        <v>0</v>
      </c>
      <c r="J14" s="216"/>
      <c r="K14" s="213"/>
      <c r="L14" s="245">
        <v>0</v>
      </c>
      <c r="M14" s="245">
        <v>0</v>
      </c>
      <c r="N14" s="216"/>
      <c r="O14" s="213"/>
      <c r="P14" s="245">
        <v>0</v>
      </c>
      <c r="Q14" s="245">
        <v>4.76</v>
      </c>
      <c r="R14" s="216"/>
      <c r="S14" s="213"/>
      <c r="T14" s="245">
        <v>0</v>
      </c>
      <c r="U14" s="245">
        <v>5.8</v>
      </c>
      <c r="V14" s="216"/>
      <c r="W14" s="213"/>
      <c r="X14" s="245">
        <v>0</v>
      </c>
      <c r="Y14" s="245">
        <v>0</v>
      </c>
      <c r="Z14" s="216" t="e">
        <v>#DIV/0!</v>
      </c>
      <c r="AA14" s="213"/>
      <c r="AB14" s="245">
        <v>0</v>
      </c>
      <c r="AC14" s="245">
        <v>0</v>
      </c>
      <c r="AD14" s="216" t="e">
        <f t="shared" si="1"/>
        <v>#DIV/0!</v>
      </c>
      <c r="AE14" s="213"/>
      <c r="AF14" s="245" t="e">
        <f ca="1">_xll.GL($A14,DATA!$M$5,DATA!$A$1,DATA!$M$6,DATA!$M$7)</f>
        <v>#NAME?</v>
      </c>
      <c r="AG14" s="245">
        <v>0</v>
      </c>
      <c r="AH14" s="245"/>
      <c r="AI14" s="216" t="e">
        <f t="shared" si="0"/>
        <v>#DIV/0!</v>
      </c>
      <c r="AJ14" s="216"/>
      <c r="AK14" s="398">
        <v>0</v>
      </c>
      <c r="AL14" s="398"/>
      <c r="AM14" s="396" t="e">
        <f t="shared" si="2"/>
        <v>#DIV/0!</v>
      </c>
      <c r="AN14" s="397"/>
      <c r="AO14" s="157">
        <v>0</v>
      </c>
      <c r="AP14" s="399">
        <f t="shared" si="3"/>
        <v>0</v>
      </c>
      <c r="AQ14" s="396" t="e">
        <f t="shared" si="4"/>
        <v>#DIV/0!</v>
      </c>
      <c r="AR14" s="159"/>
    </row>
    <row r="15" spans="1:44" s="211" customFormat="1" x14ac:dyDescent="0.25">
      <c r="A15" s="211" t="s">
        <v>428</v>
      </c>
      <c r="B15" s="214" t="str">
        <f>MID(A15,14,4)</f>
        <v>5399</v>
      </c>
      <c r="C15" s="211" t="s">
        <v>1602</v>
      </c>
      <c r="D15" s="245">
        <v>1000</v>
      </c>
      <c r="E15" s="245">
        <v>60</v>
      </c>
      <c r="F15" s="216"/>
      <c r="G15" s="213"/>
      <c r="H15" s="245">
        <v>1000</v>
      </c>
      <c r="I15" s="245">
        <v>999.8</v>
      </c>
      <c r="J15" s="216"/>
      <c r="K15" s="213"/>
      <c r="L15" s="245">
        <v>1000</v>
      </c>
      <c r="M15" s="245">
        <v>407.97</v>
      </c>
      <c r="N15" s="216"/>
      <c r="O15" s="213"/>
      <c r="P15" s="245">
        <v>1000</v>
      </c>
      <c r="Q15" s="245">
        <v>0</v>
      </c>
      <c r="R15" s="216"/>
      <c r="S15" s="213"/>
      <c r="T15" s="245">
        <v>1000</v>
      </c>
      <c r="U15" s="245">
        <v>500</v>
      </c>
      <c r="V15" s="216"/>
      <c r="W15" s="213"/>
      <c r="X15" s="245">
        <v>1000</v>
      </c>
      <c r="Y15" s="245">
        <v>0</v>
      </c>
      <c r="Z15" s="216">
        <v>0</v>
      </c>
      <c r="AA15" s="213"/>
      <c r="AB15" s="245">
        <v>1000</v>
      </c>
      <c r="AC15" s="245">
        <v>0</v>
      </c>
      <c r="AD15" s="216">
        <f t="shared" si="1"/>
        <v>0</v>
      </c>
      <c r="AE15" s="213"/>
      <c r="AF15" s="245">
        <v>500</v>
      </c>
      <c r="AG15" s="245">
        <v>500</v>
      </c>
      <c r="AH15" s="245">
        <v>0</v>
      </c>
      <c r="AI15" s="216">
        <f t="shared" si="0"/>
        <v>-0.5</v>
      </c>
      <c r="AJ15" s="216"/>
      <c r="AK15" s="398">
        <v>500</v>
      </c>
      <c r="AL15" s="398">
        <v>0</v>
      </c>
      <c r="AM15" s="396">
        <f t="shared" si="2"/>
        <v>0</v>
      </c>
      <c r="AN15" s="397"/>
      <c r="AO15" s="157">
        <v>500</v>
      </c>
      <c r="AP15" s="399">
        <f t="shared" si="3"/>
        <v>0</v>
      </c>
      <c r="AQ15" s="396">
        <f t="shared" si="4"/>
        <v>0</v>
      </c>
      <c r="AR15" s="159"/>
    </row>
    <row r="16" spans="1:44" s="211" customFormat="1" x14ac:dyDescent="0.25">
      <c r="A16" s="211" t="s">
        <v>429</v>
      </c>
      <c r="B16" s="214" t="str">
        <f>MID(A16,14,4)</f>
        <v>5420</v>
      </c>
      <c r="C16" s="211" t="s">
        <v>1480</v>
      </c>
      <c r="D16" s="245">
        <v>50</v>
      </c>
      <c r="E16" s="245">
        <v>74</v>
      </c>
      <c r="F16" s="216"/>
      <c r="G16" s="213"/>
      <c r="H16" s="245">
        <v>50</v>
      </c>
      <c r="I16" s="245">
        <v>0</v>
      </c>
      <c r="J16" s="216"/>
      <c r="K16" s="213"/>
      <c r="L16" s="245">
        <v>50</v>
      </c>
      <c r="M16" s="245">
        <v>0</v>
      </c>
      <c r="N16" s="216"/>
      <c r="O16" s="213"/>
      <c r="P16" s="245">
        <v>0</v>
      </c>
      <c r="Q16" s="245">
        <v>0</v>
      </c>
      <c r="R16" s="216"/>
      <c r="S16" s="213"/>
      <c r="T16" s="245">
        <v>50</v>
      </c>
      <c r="U16" s="245">
        <v>0</v>
      </c>
      <c r="V16" s="216"/>
      <c r="W16" s="213"/>
      <c r="X16" s="245">
        <v>50</v>
      </c>
      <c r="Y16" s="245">
        <v>0</v>
      </c>
      <c r="Z16" s="216">
        <v>0</v>
      </c>
      <c r="AA16" s="213"/>
      <c r="AB16" s="245">
        <v>50</v>
      </c>
      <c r="AC16" s="245">
        <v>0</v>
      </c>
      <c r="AD16" s="216">
        <f t="shared" si="1"/>
        <v>0</v>
      </c>
      <c r="AE16" s="213"/>
      <c r="AF16" s="245">
        <v>50</v>
      </c>
      <c r="AG16" s="245">
        <v>50</v>
      </c>
      <c r="AH16" s="245">
        <v>0</v>
      </c>
      <c r="AI16" s="216">
        <f t="shared" si="0"/>
        <v>0</v>
      </c>
      <c r="AJ16" s="216"/>
      <c r="AK16" s="398">
        <v>50</v>
      </c>
      <c r="AL16" s="398">
        <v>0</v>
      </c>
      <c r="AM16" s="396">
        <f t="shared" si="2"/>
        <v>0</v>
      </c>
      <c r="AN16" s="397"/>
      <c r="AO16" s="157">
        <v>50</v>
      </c>
      <c r="AP16" s="399">
        <f t="shared" si="3"/>
        <v>0</v>
      </c>
      <c r="AQ16" s="396">
        <f t="shared" si="4"/>
        <v>0</v>
      </c>
      <c r="AR16" s="159"/>
    </row>
    <row r="17" spans="1:45" s="211" customFormat="1" ht="14.25" x14ac:dyDescent="0.3">
      <c r="A17" s="211" t="s">
        <v>430</v>
      </c>
      <c r="B17" s="214" t="str">
        <f>MID(A17,14,4)</f>
        <v>5730</v>
      </c>
      <c r="C17" s="211" t="s">
        <v>1594</v>
      </c>
      <c r="D17" s="245">
        <v>800</v>
      </c>
      <c r="E17" s="245">
        <v>750</v>
      </c>
      <c r="F17" s="216"/>
      <c r="G17" s="213"/>
      <c r="H17" s="245">
        <v>900</v>
      </c>
      <c r="I17" s="245">
        <v>858</v>
      </c>
      <c r="J17" s="216"/>
      <c r="K17" s="213"/>
      <c r="L17" s="245">
        <v>900</v>
      </c>
      <c r="M17" s="245">
        <v>750</v>
      </c>
      <c r="N17" s="216"/>
      <c r="O17" s="213"/>
      <c r="P17" s="245">
        <v>900</v>
      </c>
      <c r="Q17" s="245">
        <v>875</v>
      </c>
      <c r="R17" s="216"/>
      <c r="S17" s="213"/>
      <c r="T17" s="245">
        <v>900</v>
      </c>
      <c r="U17" s="245">
        <v>875</v>
      </c>
      <c r="V17" s="216"/>
      <c r="W17" s="213"/>
      <c r="X17" s="245">
        <v>900</v>
      </c>
      <c r="Y17" s="245">
        <v>875</v>
      </c>
      <c r="Z17" s="216">
        <v>0</v>
      </c>
      <c r="AA17" s="213"/>
      <c r="AB17" s="245">
        <v>900</v>
      </c>
      <c r="AC17" s="245">
        <v>875</v>
      </c>
      <c r="AD17" s="216">
        <f t="shared" si="1"/>
        <v>0</v>
      </c>
      <c r="AE17" s="213"/>
      <c r="AF17" s="245">
        <v>900</v>
      </c>
      <c r="AG17" s="245">
        <v>900</v>
      </c>
      <c r="AH17" s="245">
        <v>875</v>
      </c>
      <c r="AI17" s="216">
        <f t="shared" si="0"/>
        <v>0</v>
      </c>
      <c r="AJ17" s="216"/>
      <c r="AK17" s="398">
        <v>900</v>
      </c>
      <c r="AL17" s="398">
        <v>0</v>
      </c>
      <c r="AM17" s="396">
        <f t="shared" si="2"/>
        <v>0</v>
      </c>
      <c r="AN17" s="397"/>
      <c r="AO17" s="157">
        <v>900</v>
      </c>
      <c r="AP17" s="399">
        <f t="shared" si="3"/>
        <v>0</v>
      </c>
      <c r="AQ17" s="396">
        <f t="shared" si="4"/>
        <v>0</v>
      </c>
      <c r="AR17" s="280" t="s">
        <v>1166</v>
      </c>
    </row>
    <row r="18" spans="1:45" s="114" customFormat="1" x14ac:dyDescent="0.25">
      <c r="A18" s="219"/>
      <c r="B18" s="219"/>
      <c r="C18" s="219" t="s">
        <v>279</v>
      </c>
      <c r="D18" s="220">
        <f>SUM(D11:D17)</f>
        <v>1950</v>
      </c>
      <c r="E18" s="220">
        <f>SUM(E11:E17)</f>
        <v>1006.5</v>
      </c>
      <c r="F18" s="221">
        <v>0</v>
      </c>
      <c r="G18" s="219"/>
      <c r="H18" s="220">
        <f>SUM(H11:H17)</f>
        <v>2050</v>
      </c>
      <c r="I18" s="220">
        <f>SUM(I11:I17)</f>
        <v>1974.3</v>
      </c>
      <c r="J18" s="221">
        <v>0</v>
      </c>
      <c r="K18" s="219"/>
      <c r="L18" s="220">
        <f>SUM(L11:L17)</f>
        <v>2050</v>
      </c>
      <c r="M18" s="220">
        <f>SUM(M11:M17)</f>
        <v>1298.0700000000002</v>
      </c>
      <c r="N18" s="221">
        <v>0</v>
      </c>
      <c r="O18" s="219"/>
      <c r="P18" s="220">
        <f>SUM(P11:P17)</f>
        <v>2050</v>
      </c>
      <c r="Q18" s="220">
        <f>SUM(Q11:Q17)</f>
        <v>1103.06</v>
      </c>
      <c r="R18" s="221">
        <v>0</v>
      </c>
      <c r="S18" s="219"/>
      <c r="T18" s="220">
        <f>SUM(T11:T17)</f>
        <v>2050</v>
      </c>
      <c r="U18" s="220">
        <f>SUM(U11:U17)</f>
        <v>1810.6</v>
      </c>
      <c r="V18" s="221">
        <v>0</v>
      </c>
      <c r="W18" s="219"/>
      <c r="X18" s="220">
        <f>SUM(X11:X17)</f>
        <v>5950</v>
      </c>
      <c r="Y18" s="220">
        <f>SUM(Y11:Y17)</f>
        <v>1317.75</v>
      </c>
      <c r="Z18" s="222">
        <f>(X18-T18)/T18</f>
        <v>1.9024390243902438</v>
      </c>
      <c r="AA18" s="219"/>
      <c r="AB18" s="220">
        <f>SUM(AB11:AB17)</f>
        <v>5950</v>
      </c>
      <c r="AC18" s="220">
        <f>SUM(AC11:AC17)</f>
        <v>1230.8499999999999</v>
      </c>
      <c r="AD18" s="221">
        <f>(AB18-X18)/X18</f>
        <v>0</v>
      </c>
      <c r="AE18" s="219"/>
      <c r="AF18" s="220" t="e">
        <f ca="1">SUM(AF11:AF17)</f>
        <v>#NAME?</v>
      </c>
      <c r="AG18" s="220">
        <f>SUM(AG11:AG17)</f>
        <v>3550</v>
      </c>
      <c r="AH18" s="220">
        <f>SUM(AH11:AH17)</f>
        <v>997.15</v>
      </c>
      <c r="AI18" s="221">
        <f t="shared" si="0"/>
        <v>-0.40336134453781514</v>
      </c>
      <c r="AJ18" s="221"/>
      <c r="AK18" s="401">
        <f>SUM(AK11:AK17)</f>
        <v>3550</v>
      </c>
      <c r="AL18" s="401">
        <f>SUM(AL11:AL17)</f>
        <v>157.5</v>
      </c>
      <c r="AM18" s="221">
        <f>(AK18-AG18)/AG18</f>
        <v>0</v>
      </c>
      <c r="AN18" s="219"/>
      <c r="AO18" s="223">
        <f>SUM(AO11:AO17)</f>
        <v>2750</v>
      </c>
      <c r="AP18" s="223">
        <f>SUM(AP11:AP17)</f>
        <v>-800</v>
      </c>
      <c r="AQ18" s="221">
        <f>(AO18-AK18)/AK18</f>
        <v>-0.22535211267605634</v>
      </c>
      <c r="AR18" s="219"/>
    </row>
    <row r="19" spans="1:45" s="211" customFormat="1" x14ac:dyDescent="0.25">
      <c r="D19" s="112"/>
      <c r="E19" s="112"/>
      <c r="F19" s="216"/>
      <c r="G19" s="213"/>
      <c r="H19" s="112"/>
      <c r="I19" s="112"/>
      <c r="J19" s="216"/>
      <c r="K19" s="213"/>
      <c r="L19" s="112"/>
      <c r="M19" s="112"/>
      <c r="N19" s="216"/>
      <c r="O19" s="213"/>
      <c r="P19" s="112"/>
      <c r="Q19" s="112"/>
      <c r="R19" s="216"/>
      <c r="S19" s="213"/>
      <c r="T19" s="112"/>
      <c r="U19" s="112"/>
      <c r="V19" s="216"/>
      <c r="W19" s="213"/>
      <c r="X19" s="112"/>
      <c r="Y19" s="112"/>
      <c r="Z19" s="216"/>
      <c r="AA19" s="213"/>
      <c r="AB19" s="112"/>
      <c r="AC19" s="112"/>
      <c r="AD19" s="216"/>
      <c r="AE19" s="213"/>
      <c r="AF19" s="112"/>
      <c r="AG19" s="112"/>
      <c r="AH19" s="112"/>
      <c r="AI19" s="216"/>
      <c r="AJ19" s="216"/>
      <c r="AK19" s="112"/>
      <c r="AL19" s="112"/>
      <c r="AM19" s="396"/>
      <c r="AN19" s="397"/>
      <c r="AO19" s="212"/>
      <c r="AP19" s="212"/>
      <c r="AQ19" s="396"/>
    </row>
    <row r="20" spans="1:45" s="114" customFormat="1" ht="12.75" x14ac:dyDescent="0.2">
      <c r="A20" s="228"/>
      <c r="B20" s="228"/>
      <c r="C20" s="233" t="s">
        <v>280</v>
      </c>
      <c r="D20" s="230">
        <f>D8+D18</f>
        <v>9642</v>
      </c>
      <c r="E20" s="230">
        <f>E8+E18</f>
        <v>8681.61</v>
      </c>
      <c r="F20" s="231">
        <v>5.1799999999999999E-2</v>
      </c>
      <c r="G20" s="228"/>
      <c r="H20" s="230">
        <f>H8+H18</f>
        <v>10081</v>
      </c>
      <c r="I20" s="230">
        <f>I8+I18</f>
        <v>10005.27</v>
      </c>
      <c r="J20" s="231">
        <v>5.1799999999999999E-2</v>
      </c>
      <c r="K20" s="228"/>
      <c r="L20" s="230">
        <f>L8+L18</f>
        <v>10602.97</v>
      </c>
      <c r="M20" s="230">
        <f>M8+M18</f>
        <v>9818.27</v>
      </c>
      <c r="N20" s="231">
        <v>5.1799999999999999E-2</v>
      </c>
      <c r="O20" s="228"/>
      <c r="P20" s="230">
        <f>P8+P18</f>
        <v>11109.31</v>
      </c>
      <c r="Q20" s="230">
        <f>Q8+Q18</f>
        <v>10136.34</v>
      </c>
      <c r="R20" s="231">
        <v>5.1799999999999999E-2</v>
      </c>
      <c r="S20" s="228"/>
      <c r="T20" s="230">
        <f>T8+T18</f>
        <v>11573.89</v>
      </c>
      <c r="U20" s="230">
        <f>U8+U18</f>
        <v>11352.74</v>
      </c>
      <c r="V20" s="231">
        <v>5.1799999999999999E-2</v>
      </c>
      <c r="W20" s="228"/>
      <c r="X20" s="230">
        <f>X8+X18</f>
        <v>16071.72</v>
      </c>
      <c r="Y20" s="230">
        <f>Y8+Y18</f>
        <v>11439.47</v>
      </c>
      <c r="Z20" s="231">
        <f>(X20-T20)/T20</f>
        <v>0.38861869259168696</v>
      </c>
      <c r="AA20" s="228"/>
      <c r="AB20" s="230">
        <f>AB8+AB18</f>
        <v>16486.489999999998</v>
      </c>
      <c r="AC20" s="230">
        <f>AC8+AC18</f>
        <v>11767.34</v>
      </c>
      <c r="AD20" s="231">
        <f>(AB20-X20)/X20</f>
        <v>2.5807443136142156E-2</v>
      </c>
      <c r="AE20" s="228"/>
      <c r="AF20" s="230" t="e">
        <f ca="1">AF8+AF18</f>
        <v>#NAME?</v>
      </c>
      <c r="AG20" s="382">
        <f>AG8+AG18</f>
        <v>15871.16</v>
      </c>
      <c r="AH20" s="230">
        <f>AH8+AH18</f>
        <v>13318.31</v>
      </c>
      <c r="AI20" s="231">
        <f t="shared" si="0"/>
        <v>-3.7323287127823943E-2</v>
      </c>
      <c r="AJ20" s="231"/>
      <c r="AK20" s="402">
        <f>AK8+AK18</f>
        <v>16545.97</v>
      </c>
      <c r="AL20" s="402">
        <f>AL8+AL18</f>
        <v>6448.67</v>
      </c>
      <c r="AM20" s="231">
        <f>(AK20-AG20)/AG20</f>
        <v>4.2518001204700936E-2</v>
      </c>
      <c r="AN20" s="228"/>
      <c r="AO20" s="232">
        <f>SUM(AO8+AO18)</f>
        <v>16030.6718</v>
      </c>
      <c r="AP20" s="232">
        <f>SUM(AP8+AP18)</f>
        <v>-515.29819999999893</v>
      </c>
      <c r="AQ20" s="231">
        <f>(AO20-AK20)/AK20</f>
        <v>-3.1143426465779948E-2</v>
      </c>
      <c r="AR20" s="233"/>
    </row>
    <row r="21" spans="1:45" x14ac:dyDescent="0.25">
      <c r="D21" s="120"/>
      <c r="H21" s="120"/>
      <c r="L21" s="120"/>
      <c r="P21" s="120"/>
      <c r="T21" s="120"/>
      <c r="X21" s="120"/>
      <c r="AB21" s="120"/>
      <c r="AF21" s="120"/>
      <c r="AG21" s="120"/>
      <c r="AK21" s="403"/>
      <c r="AO21" s="279"/>
    </row>
    <row r="22" spans="1:45" s="111" customFormat="1" thickBot="1" x14ac:dyDescent="0.25">
      <c r="C22" s="111" t="s">
        <v>281</v>
      </c>
      <c r="D22" s="122"/>
      <c r="E22" s="121">
        <f>D20-E20</f>
        <v>960.38999999999942</v>
      </c>
      <c r="G22" s="118"/>
      <c r="H22" s="122"/>
      <c r="I22" s="121">
        <f>H20-I20</f>
        <v>75.729999999999563</v>
      </c>
      <c r="K22" s="118"/>
      <c r="L22" s="122"/>
      <c r="M22" s="121">
        <f>L20-M20</f>
        <v>784.69999999999891</v>
      </c>
      <c r="O22" s="118"/>
      <c r="P22" s="122"/>
      <c r="Q22" s="121">
        <f>P20-Q20</f>
        <v>972.96999999999935</v>
      </c>
      <c r="S22" s="118"/>
      <c r="T22" s="122"/>
      <c r="U22" s="121">
        <f>T20-U20</f>
        <v>221.14999999999964</v>
      </c>
      <c r="W22" s="118"/>
      <c r="X22" s="122"/>
      <c r="Y22" s="121">
        <f>X20-Y20</f>
        <v>4632.25</v>
      </c>
      <c r="AA22" s="118"/>
      <c r="AB22" s="122"/>
      <c r="AC22" s="121">
        <f>AB20-AC20</f>
        <v>4719.1499999999978</v>
      </c>
      <c r="AE22" s="118"/>
      <c r="AF22" s="122"/>
      <c r="AG22" s="122"/>
      <c r="AH22" s="121">
        <f>AG20-AH20</f>
        <v>2552.8500000000004</v>
      </c>
      <c r="AK22" s="122"/>
      <c r="AL22" s="121">
        <f>AK20-AL20</f>
        <v>10097.300000000001</v>
      </c>
      <c r="AN22" s="118"/>
      <c r="AO22" s="123"/>
      <c r="AP22" s="123"/>
    </row>
    <row r="23" spans="1:45" ht="14.25" thickTop="1" x14ac:dyDescent="0.25">
      <c r="D23" s="120"/>
      <c r="F23" s="216"/>
      <c r="H23" s="120"/>
      <c r="J23" s="216"/>
      <c r="L23" s="120"/>
      <c r="N23" s="216"/>
      <c r="P23" s="120"/>
      <c r="R23" s="216"/>
      <c r="T23" s="120"/>
      <c r="V23" s="80"/>
      <c r="X23" s="120"/>
      <c r="AB23" s="120"/>
      <c r="AF23" s="120"/>
      <c r="AG23" s="120"/>
      <c r="AK23" s="403"/>
      <c r="AO23" s="240" t="s">
        <v>1195</v>
      </c>
      <c r="AP23" s="241"/>
      <c r="AQ23" s="242"/>
      <c r="AR23" s="211"/>
      <c r="AS23" s="211"/>
    </row>
    <row r="24" spans="1:45" x14ac:dyDescent="0.25">
      <c r="F24" s="216"/>
      <c r="J24" s="216"/>
      <c r="N24" s="216"/>
      <c r="R24" s="216"/>
      <c r="V24" s="80"/>
      <c r="AO24" s="243" t="s">
        <v>313</v>
      </c>
      <c r="AP24" s="5"/>
      <c r="AQ24" s="299">
        <f>AO8*0.0145</f>
        <v>192.56974110000002</v>
      </c>
      <c r="AR24" s="211"/>
      <c r="AS24" s="211"/>
    </row>
    <row r="25" spans="1:45" x14ac:dyDescent="0.25">
      <c r="D25" s="127"/>
      <c r="E25" s="128"/>
      <c r="F25" s="130"/>
      <c r="G25" s="129"/>
      <c r="H25" s="127"/>
      <c r="I25" s="128"/>
      <c r="J25" s="130"/>
      <c r="K25" s="129"/>
      <c r="L25" s="127"/>
      <c r="M25" s="128"/>
      <c r="N25" s="130"/>
      <c r="O25" s="129"/>
      <c r="P25" s="127"/>
      <c r="Q25" s="128"/>
      <c r="R25" s="130"/>
      <c r="S25" s="129"/>
      <c r="T25" s="127"/>
      <c r="U25" s="128"/>
      <c r="V25" s="130"/>
      <c r="W25" s="129"/>
      <c r="X25" s="127"/>
      <c r="Y25" s="128"/>
      <c r="Z25" s="129"/>
      <c r="AA25" s="129"/>
      <c r="AB25" s="127"/>
      <c r="AC25" s="128"/>
      <c r="AD25" s="129"/>
      <c r="AE25" s="129"/>
      <c r="AF25" s="127"/>
      <c r="AG25" s="127"/>
      <c r="AH25" s="128"/>
      <c r="AI25" s="129"/>
      <c r="AJ25" s="129"/>
      <c r="AK25" s="127"/>
      <c r="AL25" s="128"/>
      <c r="AM25" s="129"/>
      <c r="AN25" s="129"/>
      <c r="AO25" s="210" t="s">
        <v>314</v>
      </c>
      <c r="AP25" s="5"/>
      <c r="AQ25" s="299">
        <f>AO8*0.0009</f>
        <v>11.952604619999999</v>
      </c>
      <c r="AR25" s="211"/>
      <c r="AS25" s="211"/>
    </row>
    <row r="26" spans="1:45" x14ac:dyDescent="0.25">
      <c r="D26" s="127"/>
      <c r="E26" s="128"/>
      <c r="F26" s="130"/>
      <c r="G26" s="129"/>
      <c r="H26" s="127"/>
      <c r="I26" s="128"/>
      <c r="J26" s="130"/>
      <c r="K26" s="129"/>
      <c r="L26" s="127"/>
      <c r="M26" s="128"/>
      <c r="N26" s="130"/>
      <c r="O26" s="129"/>
      <c r="P26" s="127"/>
      <c r="Q26" s="128"/>
      <c r="R26" s="130"/>
      <c r="S26" s="129"/>
      <c r="T26" s="127"/>
      <c r="U26" s="128"/>
      <c r="V26" s="130"/>
      <c r="W26" s="129"/>
      <c r="X26" s="127"/>
      <c r="Y26" s="128"/>
      <c r="Z26" s="129"/>
      <c r="AA26" s="129"/>
      <c r="AB26" s="127"/>
      <c r="AC26" s="128"/>
      <c r="AD26" s="129"/>
      <c r="AE26" s="129"/>
      <c r="AF26" s="127"/>
      <c r="AG26" s="127"/>
      <c r="AH26" s="128"/>
      <c r="AI26" s="129"/>
      <c r="AJ26" s="129"/>
      <c r="AK26" s="127"/>
      <c r="AL26" s="128"/>
      <c r="AM26" s="129"/>
      <c r="AN26" s="129"/>
      <c r="AO26" s="210" t="s">
        <v>315</v>
      </c>
      <c r="AP26" s="5"/>
      <c r="AQ26" s="299">
        <f>AO8*0.003</f>
        <v>39.842015400000001</v>
      </c>
      <c r="AR26" s="211"/>
      <c r="AS26" s="211"/>
    </row>
    <row r="27" spans="1:45" x14ac:dyDescent="0.25">
      <c r="D27" s="127"/>
      <c r="E27" s="128"/>
      <c r="F27" s="130"/>
      <c r="G27" s="129"/>
      <c r="H27" s="127"/>
      <c r="I27" s="128"/>
      <c r="J27" s="130"/>
      <c r="K27" s="129"/>
      <c r="L27" s="127"/>
      <c r="M27" s="128"/>
      <c r="N27" s="130"/>
      <c r="O27" s="129"/>
      <c r="P27" s="127"/>
      <c r="Q27" s="128"/>
      <c r="R27" s="130"/>
      <c r="S27" s="129"/>
      <c r="T27" s="127"/>
      <c r="U27" s="128"/>
      <c r="V27" s="130"/>
      <c r="W27" s="129"/>
      <c r="X27" s="127"/>
      <c r="Y27" s="128"/>
      <c r="Z27" s="129"/>
      <c r="AA27" s="129"/>
      <c r="AB27" s="127"/>
      <c r="AC27" s="128"/>
      <c r="AD27" s="129"/>
      <c r="AE27" s="129"/>
      <c r="AF27" s="127"/>
      <c r="AG27" s="127"/>
      <c r="AH27" s="128"/>
      <c r="AI27" s="129"/>
      <c r="AJ27" s="129"/>
      <c r="AK27" s="127"/>
      <c r="AL27" s="128"/>
      <c r="AM27" s="129"/>
      <c r="AN27" s="129"/>
      <c r="AO27" s="210" t="s">
        <v>316</v>
      </c>
      <c r="AP27" s="5"/>
      <c r="AQ27" s="299">
        <f>'County Retirement'!G14</f>
        <v>1624.2640366160351</v>
      </c>
      <c r="AR27" s="211"/>
      <c r="AS27" s="211"/>
    </row>
    <row r="28" spans="1:45" x14ac:dyDescent="0.25">
      <c r="D28" s="127"/>
      <c r="E28" s="128"/>
      <c r="F28" s="130"/>
      <c r="G28" s="129"/>
      <c r="H28" s="127"/>
      <c r="I28" s="128"/>
      <c r="J28" s="130"/>
      <c r="K28" s="129"/>
      <c r="L28" s="127"/>
      <c r="M28" s="128"/>
      <c r="N28" s="130"/>
      <c r="O28" s="129"/>
      <c r="P28" s="127"/>
      <c r="Q28" s="128"/>
      <c r="R28" s="130"/>
      <c r="S28" s="129"/>
      <c r="T28" s="127"/>
      <c r="U28" s="128"/>
      <c r="V28" s="130"/>
      <c r="W28" s="129"/>
      <c r="X28" s="127"/>
      <c r="Y28" s="128"/>
      <c r="Z28" s="129"/>
      <c r="AA28" s="129"/>
      <c r="AB28" s="127"/>
      <c r="AC28" s="128"/>
      <c r="AD28" s="129"/>
      <c r="AE28" s="129"/>
      <c r="AF28" s="127"/>
      <c r="AG28" s="127"/>
      <c r="AH28" s="128"/>
      <c r="AI28" s="129"/>
      <c r="AJ28" s="129"/>
      <c r="AK28" s="127"/>
      <c r="AL28" s="128"/>
      <c r="AM28" s="129"/>
      <c r="AN28" s="129"/>
      <c r="AO28" s="210" t="s">
        <v>317</v>
      </c>
      <c r="AP28" s="5"/>
      <c r="AQ28" s="300" t="s">
        <v>1093</v>
      </c>
      <c r="AR28" s="211"/>
      <c r="AS28" s="211"/>
    </row>
    <row r="29" spans="1:45" x14ac:dyDescent="0.25">
      <c r="D29" s="127"/>
      <c r="E29" s="128"/>
      <c r="F29" s="130"/>
      <c r="G29" s="129"/>
      <c r="H29" s="127"/>
      <c r="I29" s="128"/>
      <c r="J29" s="130"/>
      <c r="K29" s="129"/>
      <c r="L29" s="127"/>
      <c r="M29" s="128"/>
      <c r="N29" s="130"/>
      <c r="O29" s="129"/>
      <c r="P29" s="127"/>
      <c r="Q29" s="128"/>
      <c r="R29" s="130"/>
      <c r="S29" s="129"/>
      <c r="T29" s="127"/>
      <c r="U29" s="128"/>
      <c r="V29" s="130"/>
      <c r="W29" s="129"/>
      <c r="X29" s="127"/>
      <c r="Y29" s="128"/>
      <c r="Z29" s="129"/>
      <c r="AA29" s="129"/>
      <c r="AB29" s="127"/>
      <c r="AC29" s="128"/>
      <c r="AD29" s="129"/>
      <c r="AE29" s="129"/>
      <c r="AF29" s="127"/>
      <c r="AG29" s="127"/>
      <c r="AH29" s="128"/>
      <c r="AI29" s="129"/>
      <c r="AJ29" s="129"/>
      <c r="AK29" s="127"/>
      <c r="AL29" s="128"/>
      <c r="AM29" s="129"/>
      <c r="AN29" s="129"/>
      <c r="AO29" s="235"/>
      <c r="AP29" s="237"/>
      <c r="AQ29" s="301">
        <f>SUM(AQ24:AQ28)</f>
        <v>1868.6283977360351</v>
      </c>
      <c r="AR29" s="211"/>
      <c r="AS29" s="211"/>
    </row>
    <row r="30" spans="1:45" x14ac:dyDescent="0.25">
      <c r="D30" s="127"/>
      <c r="E30" s="128"/>
      <c r="F30" s="130"/>
      <c r="G30" s="129"/>
      <c r="H30" s="127"/>
      <c r="I30" s="128"/>
      <c r="J30" s="130"/>
      <c r="K30" s="129"/>
      <c r="L30" s="127"/>
      <c r="M30" s="128"/>
      <c r="N30" s="130"/>
      <c r="O30" s="129"/>
      <c r="P30" s="127"/>
      <c r="Q30" s="128"/>
      <c r="R30" s="130"/>
      <c r="S30" s="129"/>
      <c r="T30" s="127"/>
      <c r="U30" s="128"/>
      <c r="V30" s="130"/>
      <c r="W30" s="129"/>
      <c r="X30" s="127"/>
      <c r="Y30" s="128"/>
      <c r="Z30" s="129"/>
      <c r="AA30" s="129"/>
      <c r="AB30" s="127"/>
      <c r="AC30" s="128"/>
      <c r="AD30" s="129"/>
      <c r="AE30" s="129"/>
      <c r="AF30" s="127"/>
      <c r="AG30" s="127"/>
      <c r="AH30" s="128"/>
      <c r="AI30" s="129"/>
      <c r="AJ30" s="129"/>
      <c r="AK30" s="127"/>
      <c r="AL30" s="128"/>
      <c r="AM30" s="129"/>
      <c r="AN30" s="129"/>
      <c r="AO30" s="212"/>
      <c r="AP30" s="212"/>
      <c r="AQ30" s="211"/>
      <c r="AR30" s="211"/>
      <c r="AS30" s="211"/>
    </row>
    <row r="31" spans="1:45" x14ac:dyDescent="0.25">
      <c r="D31" s="127"/>
      <c r="E31" s="128"/>
      <c r="F31" s="130"/>
      <c r="G31" s="129"/>
      <c r="H31" s="127"/>
      <c r="I31" s="128"/>
      <c r="J31" s="130"/>
      <c r="K31" s="129"/>
      <c r="L31" s="127"/>
      <c r="M31" s="128"/>
      <c r="N31" s="130"/>
      <c r="O31" s="129"/>
      <c r="P31" s="127"/>
      <c r="Q31" s="128"/>
      <c r="R31" s="130"/>
      <c r="S31" s="129"/>
      <c r="T31" s="127"/>
      <c r="U31" s="128"/>
      <c r="V31" s="130"/>
      <c r="W31" s="129"/>
      <c r="X31" s="127"/>
      <c r="Y31" s="128"/>
      <c r="Z31" s="129"/>
      <c r="AA31" s="129"/>
      <c r="AB31" s="127"/>
      <c r="AC31" s="128"/>
      <c r="AD31" s="129"/>
      <c r="AE31" s="129"/>
      <c r="AF31" s="127"/>
      <c r="AG31" s="127"/>
      <c r="AH31" s="128"/>
      <c r="AI31" s="129"/>
      <c r="AJ31" s="129"/>
      <c r="AK31" s="127"/>
      <c r="AL31" s="128"/>
      <c r="AM31" s="129"/>
      <c r="AN31" s="129"/>
      <c r="AO31" s="212"/>
      <c r="AP31" s="212"/>
      <c r="AQ31" s="211"/>
      <c r="AR31" s="211"/>
      <c r="AS31" s="211"/>
    </row>
    <row r="32" spans="1:45" x14ac:dyDescent="0.25">
      <c r="D32" s="127"/>
      <c r="E32" s="128"/>
      <c r="F32" s="130"/>
      <c r="G32" s="129"/>
      <c r="H32" s="127"/>
      <c r="I32" s="128"/>
      <c r="J32" s="130"/>
      <c r="K32" s="129"/>
      <c r="L32" s="127"/>
      <c r="M32" s="128"/>
      <c r="N32" s="130"/>
      <c r="O32" s="129"/>
      <c r="P32" s="127"/>
      <c r="Q32" s="128"/>
      <c r="R32" s="130"/>
      <c r="S32" s="129"/>
      <c r="T32" s="127"/>
      <c r="U32" s="128"/>
      <c r="V32" s="130"/>
      <c r="W32" s="129"/>
      <c r="X32" s="127"/>
      <c r="Y32" s="128"/>
      <c r="Z32" s="129"/>
      <c r="AA32" s="129"/>
      <c r="AB32" s="127"/>
      <c r="AC32" s="128"/>
      <c r="AD32" s="129"/>
      <c r="AE32" s="129"/>
      <c r="AF32" s="127"/>
      <c r="AG32" s="127"/>
      <c r="AH32" s="128"/>
      <c r="AI32" s="129"/>
      <c r="AJ32" s="129"/>
      <c r="AK32" s="127"/>
      <c r="AL32" s="128"/>
      <c r="AM32" s="129"/>
      <c r="AN32" s="129"/>
      <c r="AO32" s="212"/>
      <c r="AP32" s="212"/>
      <c r="AQ32" s="211"/>
      <c r="AR32" s="211"/>
      <c r="AS32" s="211"/>
    </row>
    <row r="33" spans="4:45" x14ac:dyDescent="0.25">
      <c r="D33" s="127"/>
      <c r="E33" s="128"/>
      <c r="F33" s="130"/>
      <c r="G33" s="129"/>
      <c r="H33" s="127"/>
      <c r="I33" s="128"/>
      <c r="J33" s="130"/>
      <c r="K33" s="129"/>
      <c r="L33" s="127"/>
      <c r="M33" s="128"/>
      <c r="N33" s="130"/>
      <c r="O33" s="129"/>
      <c r="P33" s="127"/>
      <c r="Q33" s="128"/>
      <c r="R33" s="130"/>
      <c r="S33" s="129"/>
      <c r="T33" s="127"/>
      <c r="U33" s="128"/>
      <c r="V33" s="130"/>
      <c r="W33" s="129"/>
      <c r="X33" s="127"/>
      <c r="Y33" s="128"/>
      <c r="Z33" s="129"/>
      <c r="AA33" s="129"/>
      <c r="AB33" s="127"/>
      <c r="AC33" s="128"/>
      <c r="AD33" s="129"/>
      <c r="AE33" s="129"/>
      <c r="AF33" s="127"/>
      <c r="AG33" s="127"/>
      <c r="AH33" s="128"/>
      <c r="AI33" s="129"/>
      <c r="AJ33" s="129"/>
      <c r="AK33" s="127"/>
      <c r="AL33" s="128"/>
      <c r="AM33" s="129"/>
      <c r="AN33" s="129"/>
      <c r="AO33" s="131"/>
      <c r="AP33" s="131"/>
      <c r="AQ33" s="211"/>
      <c r="AR33" s="211"/>
      <c r="AS33" s="211"/>
    </row>
    <row r="34" spans="4:45" x14ac:dyDescent="0.25">
      <c r="D34" s="127"/>
      <c r="E34" s="128"/>
      <c r="F34" s="130"/>
      <c r="G34" s="129"/>
      <c r="H34" s="127"/>
      <c r="I34" s="128"/>
      <c r="J34" s="130"/>
      <c r="K34" s="129"/>
      <c r="L34" s="127"/>
      <c r="M34" s="128"/>
      <c r="N34" s="130"/>
      <c r="O34" s="129"/>
      <c r="P34" s="127"/>
      <c r="Q34" s="128"/>
      <c r="R34" s="130"/>
      <c r="S34" s="129"/>
      <c r="T34" s="127"/>
      <c r="U34" s="128"/>
      <c r="V34" s="130"/>
      <c r="W34" s="129"/>
      <c r="X34" s="127"/>
      <c r="Y34" s="128"/>
      <c r="Z34" s="129"/>
      <c r="AA34" s="129"/>
      <c r="AB34" s="127"/>
      <c r="AC34" s="128"/>
      <c r="AD34" s="129"/>
      <c r="AE34" s="129"/>
      <c r="AF34" s="127"/>
      <c r="AG34" s="127"/>
      <c r="AH34" s="128"/>
      <c r="AI34" s="129"/>
      <c r="AJ34" s="129"/>
      <c r="AK34" s="127"/>
      <c r="AL34" s="128"/>
      <c r="AM34" s="129"/>
      <c r="AN34" s="129"/>
      <c r="AO34" s="131"/>
      <c r="AP34" s="131"/>
      <c r="AQ34" s="211"/>
      <c r="AR34" s="211"/>
      <c r="AS34" s="211"/>
    </row>
    <row r="35" spans="4:45" x14ac:dyDescent="0.25">
      <c r="D35" s="134"/>
      <c r="E35" s="129"/>
      <c r="F35" s="130"/>
      <c r="G35" s="129"/>
      <c r="H35" s="134"/>
      <c r="I35" s="129"/>
      <c r="J35" s="130"/>
      <c r="K35" s="129"/>
      <c r="L35" s="134"/>
      <c r="M35" s="129"/>
      <c r="N35" s="130"/>
      <c r="O35" s="129"/>
      <c r="P35" s="134"/>
      <c r="Q35" s="129"/>
      <c r="R35" s="130"/>
      <c r="S35" s="129"/>
      <c r="T35" s="134"/>
      <c r="U35" s="129"/>
      <c r="V35" s="130"/>
      <c r="W35" s="129"/>
      <c r="X35" s="134"/>
      <c r="Y35" s="129"/>
      <c r="Z35" s="129"/>
      <c r="AA35" s="129"/>
      <c r="AB35" s="134"/>
      <c r="AC35" s="129"/>
      <c r="AD35" s="129"/>
      <c r="AE35" s="129"/>
      <c r="AF35" s="134"/>
      <c r="AG35" s="134"/>
      <c r="AH35" s="129"/>
      <c r="AI35" s="129"/>
      <c r="AJ35" s="129"/>
      <c r="AK35" s="134"/>
      <c r="AL35" s="129"/>
      <c r="AM35" s="129"/>
      <c r="AN35" s="129"/>
      <c r="AO35" s="212"/>
      <c r="AP35" s="212"/>
      <c r="AQ35" s="211"/>
      <c r="AR35" s="211"/>
      <c r="AS35" s="211"/>
    </row>
    <row r="36" spans="4:45" x14ac:dyDescent="0.25">
      <c r="D36" s="120"/>
      <c r="F36" s="216"/>
      <c r="H36" s="120"/>
      <c r="J36" s="216"/>
      <c r="L36" s="120"/>
      <c r="N36" s="216"/>
      <c r="P36" s="120"/>
      <c r="R36" s="216"/>
      <c r="T36" s="120"/>
      <c r="V36" s="80"/>
      <c r="X36" s="120"/>
      <c r="AB36" s="120"/>
      <c r="AF36" s="120"/>
      <c r="AG36" s="120"/>
      <c r="AK36" s="403"/>
      <c r="AO36" s="212"/>
      <c r="AP36" s="212"/>
      <c r="AQ36" s="211"/>
      <c r="AR36" s="211"/>
      <c r="AS36" s="211"/>
    </row>
    <row r="37" spans="4:45" x14ac:dyDescent="0.25">
      <c r="D37" s="120"/>
      <c r="F37" s="216"/>
      <c r="H37" s="120"/>
      <c r="J37" s="216"/>
      <c r="L37" s="120"/>
      <c r="N37" s="216"/>
      <c r="P37" s="120"/>
      <c r="R37" s="216"/>
      <c r="T37" s="120"/>
      <c r="V37" s="80"/>
      <c r="X37" s="120"/>
      <c r="AB37" s="120"/>
      <c r="AF37" s="120"/>
      <c r="AG37" s="120"/>
      <c r="AK37" s="403"/>
      <c r="AO37" s="212"/>
      <c r="AP37" s="212"/>
      <c r="AQ37" s="211"/>
      <c r="AR37" s="211"/>
      <c r="AS37" s="211"/>
    </row>
    <row r="38" spans="4:45" x14ac:dyDescent="0.25">
      <c r="D38" s="120"/>
      <c r="F38" s="216"/>
      <c r="H38" s="120"/>
      <c r="J38" s="216"/>
      <c r="L38" s="120"/>
      <c r="N38" s="216"/>
      <c r="P38" s="120"/>
      <c r="R38" s="216"/>
      <c r="T38" s="120"/>
      <c r="V38" s="80"/>
      <c r="X38" s="120"/>
      <c r="AB38" s="120"/>
      <c r="AF38" s="120"/>
      <c r="AG38" s="120"/>
      <c r="AK38" s="403"/>
      <c r="AO38" s="212"/>
      <c r="AP38" s="212"/>
      <c r="AQ38" s="211"/>
      <c r="AR38" s="211"/>
      <c r="AS38" s="211"/>
    </row>
    <row r="39" spans="4:45" x14ac:dyDescent="0.25">
      <c r="D39" s="120"/>
      <c r="F39" s="216"/>
      <c r="H39" s="120"/>
      <c r="J39" s="216"/>
      <c r="L39" s="120"/>
      <c r="N39" s="216"/>
      <c r="P39" s="120"/>
      <c r="R39" s="216"/>
      <c r="T39" s="120"/>
      <c r="V39" s="80"/>
      <c r="X39" s="120"/>
      <c r="AB39" s="120"/>
      <c r="AF39" s="120"/>
      <c r="AG39" s="120"/>
      <c r="AK39" s="403"/>
      <c r="AO39" s="212"/>
      <c r="AP39" s="212"/>
      <c r="AQ39" s="211"/>
      <c r="AR39" s="211"/>
      <c r="AS39" s="211"/>
    </row>
    <row r="40" spans="4:45" x14ac:dyDescent="0.25">
      <c r="D40" s="120"/>
      <c r="F40" s="216"/>
      <c r="H40" s="120"/>
      <c r="J40" s="216"/>
      <c r="L40" s="120"/>
      <c r="N40" s="216"/>
      <c r="P40" s="120"/>
      <c r="R40" s="216"/>
      <c r="T40" s="120"/>
      <c r="V40" s="80"/>
      <c r="X40" s="120"/>
      <c r="AB40" s="120"/>
      <c r="AF40" s="120"/>
      <c r="AG40" s="120"/>
      <c r="AK40" s="403"/>
      <c r="AO40" s="212"/>
      <c r="AP40" s="212"/>
      <c r="AQ40" s="211"/>
      <c r="AR40" s="211"/>
      <c r="AS40" s="211"/>
    </row>
    <row r="41" spans="4:45" x14ac:dyDescent="0.25">
      <c r="D41" s="120"/>
      <c r="H41" s="120"/>
      <c r="L41" s="120"/>
      <c r="P41" s="120"/>
      <c r="T41" s="120"/>
      <c r="X41" s="120"/>
      <c r="AB41" s="120"/>
      <c r="AF41" s="120"/>
      <c r="AG41" s="120"/>
      <c r="AK41" s="403"/>
      <c r="AO41" s="212"/>
      <c r="AP41" s="212"/>
      <c r="AQ41" s="211"/>
      <c r="AR41" s="211"/>
      <c r="AS41" s="211"/>
    </row>
    <row r="42" spans="4:45" x14ac:dyDescent="0.25">
      <c r="D42" s="120"/>
      <c r="H42" s="120"/>
      <c r="L42" s="120"/>
      <c r="P42" s="120"/>
      <c r="T42" s="120"/>
      <c r="X42" s="120"/>
      <c r="AB42" s="120"/>
      <c r="AF42" s="120"/>
      <c r="AG42" s="120"/>
      <c r="AK42" s="403"/>
      <c r="AO42" s="212"/>
      <c r="AP42" s="212"/>
      <c r="AQ42" s="211"/>
      <c r="AR42" s="211"/>
      <c r="AS42" s="211"/>
    </row>
    <row r="43" spans="4:45" x14ac:dyDescent="0.25">
      <c r="D43" s="120"/>
      <c r="H43" s="120"/>
      <c r="L43" s="120"/>
      <c r="P43" s="120"/>
      <c r="T43" s="120"/>
      <c r="X43" s="120"/>
      <c r="AB43" s="120"/>
      <c r="AF43" s="120"/>
      <c r="AG43" s="120"/>
      <c r="AK43" s="403"/>
      <c r="AO43" s="212"/>
      <c r="AP43" s="212"/>
      <c r="AQ43" s="211"/>
      <c r="AR43" s="211"/>
      <c r="AS43" s="211"/>
    </row>
    <row r="44" spans="4:45" x14ac:dyDescent="0.25">
      <c r="D44" s="120"/>
      <c r="H44" s="120"/>
      <c r="L44" s="120"/>
      <c r="P44" s="120"/>
      <c r="T44" s="120"/>
      <c r="X44" s="120"/>
      <c r="AB44" s="120"/>
      <c r="AF44" s="120"/>
      <c r="AG44" s="120"/>
      <c r="AK44" s="403"/>
      <c r="AO44" s="212"/>
      <c r="AP44" s="212"/>
      <c r="AQ44" s="211"/>
      <c r="AR44" s="211"/>
      <c r="AS44" s="211"/>
    </row>
    <row r="45" spans="4:45" x14ac:dyDescent="0.25">
      <c r="D45" s="120"/>
      <c r="H45" s="120"/>
      <c r="L45" s="120"/>
      <c r="P45" s="120"/>
      <c r="T45" s="120"/>
      <c r="X45" s="120"/>
      <c r="AB45" s="120"/>
      <c r="AF45" s="120"/>
      <c r="AG45" s="120"/>
      <c r="AK45" s="403"/>
      <c r="AO45" s="212"/>
      <c r="AP45" s="212"/>
      <c r="AQ45" s="211"/>
      <c r="AR45" s="211"/>
      <c r="AS45" s="211"/>
    </row>
    <row r="46" spans="4:45" x14ac:dyDescent="0.25">
      <c r="D46" s="120"/>
      <c r="H46" s="120"/>
      <c r="L46" s="120"/>
      <c r="P46" s="120"/>
      <c r="T46" s="120"/>
      <c r="X46" s="120"/>
      <c r="AB46" s="120"/>
      <c r="AF46" s="120"/>
      <c r="AG46" s="120"/>
      <c r="AK46" s="403"/>
    </row>
    <row r="47" spans="4:45" x14ac:dyDescent="0.25">
      <c r="D47" s="120"/>
      <c r="H47" s="120"/>
      <c r="L47" s="120"/>
      <c r="P47" s="120"/>
      <c r="T47" s="120"/>
      <c r="X47" s="120"/>
      <c r="AB47" s="120"/>
      <c r="AF47" s="120"/>
      <c r="AG47" s="120"/>
      <c r="AK47" s="403"/>
    </row>
    <row r="48" spans="4:45"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7" orientation="landscape" copies="15" r:id="rId1"/>
  <headerFooter alignWithMargins="0">
    <oddHeader>&amp;C&amp;"-,Bold"Proposed Budget &amp; Analysis Report for FY20</oddHeader>
    <oddFooter>&amp;C&amp;D&amp;T&amp;R&amp;A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3:AS375"/>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2.140625" style="161" customWidth="1"/>
    <col min="4" max="4" width="13.28515625" style="211" hidden="1" customWidth="1"/>
    <col min="5" max="5" width="11.42578125" style="211" hidden="1" customWidth="1"/>
    <col min="6" max="6" width="7.7109375" style="211" hidden="1" customWidth="1"/>
    <col min="7" max="7" width="2" style="213" hidden="1" customWidth="1"/>
    <col min="8" max="8" width="13.28515625" style="211" hidden="1" customWidth="1"/>
    <col min="9" max="9" width="11.42578125" style="211" hidden="1" customWidth="1"/>
    <col min="10" max="10" width="7.7109375" style="211" hidden="1" customWidth="1"/>
    <col min="11" max="11" width="2" style="213" hidden="1" customWidth="1"/>
    <col min="12" max="12" width="13.28515625" style="211" hidden="1" customWidth="1"/>
    <col min="13" max="13" width="11.42578125" style="211" hidden="1" customWidth="1"/>
    <col min="14" max="14" width="7.7109375" style="211" hidden="1" customWidth="1"/>
    <col min="15" max="15" width="2" style="213" hidden="1" customWidth="1"/>
    <col min="16" max="16" width="13.28515625" style="211" hidden="1" customWidth="1"/>
    <col min="17" max="17" width="11.42578125" style="211" hidden="1" customWidth="1"/>
    <col min="18" max="18" width="7.7109375" style="211" hidden="1" customWidth="1"/>
    <col min="19" max="19" width="2" style="213" hidden="1" customWidth="1"/>
    <col min="20" max="20" width="13.28515625" style="161" hidden="1" customWidth="1"/>
    <col min="21" max="21" width="11.42578125" style="161" hidden="1" customWidth="1"/>
    <col min="22" max="22" width="7.7109375" style="161" hidden="1" customWidth="1"/>
    <col min="23" max="23" width="2" style="103" hidden="1" customWidth="1"/>
    <col min="24" max="25" width="11.5703125" style="161" hidden="1" customWidth="1"/>
    <col min="26" max="26" width="8.5703125" style="161" hidden="1" customWidth="1"/>
    <col min="27" max="27" width="2" style="103" hidden="1" customWidth="1"/>
    <col min="28" max="29" width="11.5703125" style="161" customWidth="1"/>
    <col min="30" max="30" width="8.5703125" style="161" bestFit="1" customWidth="1"/>
    <col min="31" max="31" width="2" style="213" customWidth="1"/>
    <col min="32" max="32" width="11.5703125" style="211" hidden="1" customWidth="1"/>
    <col min="33" max="34" width="11.5703125" style="211" customWidth="1"/>
    <col min="35" max="35" width="8.5703125" style="211" bestFit="1" customWidth="1"/>
    <col min="36" max="36" width="1.85546875" style="161" customWidth="1"/>
    <col min="37" max="38" width="11.5703125" style="394" customWidth="1"/>
    <col min="39" max="39" width="8.5703125" style="394" bestFit="1" customWidth="1"/>
    <col min="40" max="40" width="2" style="397" customWidth="1"/>
    <col min="41" max="41" width="12.7109375" style="104" customWidth="1"/>
    <col min="42" max="42" width="11.28515625" style="104" bestFit="1" customWidth="1"/>
    <col min="43" max="43" width="10.5703125" style="161" bestFit="1" customWidth="1"/>
    <col min="44" max="44" width="29.8554687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1668</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03"/>
      <c r="AP5" s="103"/>
      <c r="AR5" s="111"/>
    </row>
    <row r="6" spans="1:44" x14ac:dyDescent="0.25">
      <c r="A6" s="161" t="s">
        <v>431</v>
      </c>
      <c r="B6" s="119" t="str">
        <f>MID(A6,14,4)</f>
        <v>5108</v>
      </c>
      <c r="C6" s="161" t="s">
        <v>1721</v>
      </c>
      <c r="D6" s="245">
        <v>11489</v>
      </c>
      <c r="E6" s="245">
        <v>11423.2</v>
      </c>
      <c r="F6" s="216"/>
      <c r="H6" s="245">
        <v>12199</v>
      </c>
      <c r="I6" s="245">
        <v>9670.07</v>
      </c>
      <c r="J6" s="216"/>
      <c r="L6" s="245">
        <v>12997.8</v>
      </c>
      <c r="M6" s="245">
        <v>2550.2399999999998</v>
      </c>
      <c r="N6" s="216"/>
      <c r="P6" s="245">
        <v>7138.35</v>
      </c>
      <c r="Q6" s="245">
        <v>5333.25</v>
      </c>
      <c r="R6" s="216"/>
      <c r="T6" s="162">
        <v>7245.36</v>
      </c>
      <c r="U6" s="162">
        <v>3919.08</v>
      </c>
      <c r="V6" s="80"/>
      <c r="X6" s="162">
        <v>7367.44</v>
      </c>
      <c r="Y6" s="162">
        <v>3171.59</v>
      </c>
      <c r="Z6" s="80">
        <v>1.6849404308412547E-2</v>
      </c>
      <c r="AB6" s="162">
        <v>6237.9</v>
      </c>
      <c r="AC6" s="162">
        <v>5132.3100000000004</v>
      </c>
      <c r="AD6" s="80">
        <f>(AB6-X6)/X6</f>
        <v>-0.15331512709977957</v>
      </c>
      <c r="AF6" s="212">
        <v>6514.56</v>
      </c>
      <c r="AG6" s="380">
        <v>6530.22</v>
      </c>
      <c r="AH6" s="245">
        <v>6054.99</v>
      </c>
      <c r="AI6" s="216">
        <f>(AG6-AB6)/AB6</f>
        <v>4.6861924686192567E-2</v>
      </c>
      <c r="AJ6" s="80"/>
      <c r="AK6" s="398">
        <v>6885.18</v>
      </c>
      <c r="AL6" s="398">
        <v>2763.32</v>
      </c>
      <c r="AM6" s="396">
        <f>(AK6-AG6)/AG6</f>
        <v>5.4356514788169469E-2</v>
      </c>
      <c r="AO6" s="163">
        <f>'FY20 Payroll Schedule'!J34</f>
        <v>7284.5100000000011</v>
      </c>
      <c r="AP6" s="104">
        <f>AO6-AK6</f>
        <v>399.33000000000084</v>
      </c>
      <c r="AQ6" s="396">
        <f>(AO6-AK6)/AK6</f>
        <v>5.7998483699772674E-2</v>
      </c>
      <c r="AR6" s="400" t="s">
        <v>1827</v>
      </c>
    </row>
    <row r="7" spans="1:44" s="114" customFormat="1" x14ac:dyDescent="0.25">
      <c r="A7" s="224"/>
      <c r="B7" s="224"/>
      <c r="C7" s="224" t="s">
        <v>26</v>
      </c>
      <c r="D7" s="225">
        <f>SUM(D6)</f>
        <v>11489</v>
      </c>
      <c r="E7" s="225">
        <f>SUM(E6)</f>
        <v>11423.2</v>
      </c>
      <c r="F7" s="226">
        <v>6.5500000000000003E-2</v>
      </c>
      <c r="G7" s="224"/>
      <c r="H7" s="225">
        <f>SUM(H6)</f>
        <v>12199</v>
      </c>
      <c r="I7" s="225">
        <f>SUM(I6)</f>
        <v>9670.07</v>
      </c>
      <c r="J7" s="226">
        <v>6.5500000000000003E-2</v>
      </c>
      <c r="K7" s="224"/>
      <c r="L7" s="225">
        <f>SUM(L6)</f>
        <v>12997.8</v>
      </c>
      <c r="M7" s="225">
        <f>SUM(M6)</f>
        <v>2550.2399999999998</v>
      </c>
      <c r="N7" s="226">
        <v>6.5500000000000003E-2</v>
      </c>
      <c r="O7" s="224"/>
      <c r="P7" s="225">
        <f>SUM(P6)</f>
        <v>7138.35</v>
      </c>
      <c r="Q7" s="225">
        <f>SUM(Q6)</f>
        <v>5333.25</v>
      </c>
      <c r="R7" s="226">
        <v>6.5500000000000003E-2</v>
      </c>
      <c r="S7" s="224"/>
      <c r="T7" s="225">
        <f>SUM(T6)</f>
        <v>7245.36</v>
      </c>
      <c r="U7" s="225">
        <f>SUM(U6)</f>
        <v>3919.08</v>
      </c>
      <c r="V7" s="226">
        <v>6.5500000000000003E-2</v>
      </c>
      <c r="W7" s="224"/>
      <c r="X7" s="225">
        <f>SUM(X6)</f>
        <v>7367.44</v>
      </c>
      <c r="Y7" s="225">
        <f>SUM(Y6)</f>
        <v>3171.59</v>
      </c>
      <c r="Z7" s="226">
        <f>(X7-T7)/T7</f>
        <v>1.6849404308412547E-2</v>
      </c>
      <c r="AA7" s="224"/>
      <c r="AB7" s="225">
        <f>SUM(AB6)</f>
        <v>6237.9</v>
      </c>
      <c r="AC7" s="225">
        <f>SUM(AC6)</f>
        <v>5132.3100000000004</v>
      </c>
      <c r="AD7" s="226">
        <f>(AB7-X7)/X7</f>
        <v>-0.15331512709977957</v>
      </c>
      <c r="AE7" s="224"/>
      <c r="AF7" s="227">
        <f>SUM(AF6)</f>
        <v>6514.56</v>
      </c>
      <c r="AG7" s="381">
        <f>SUM(AG6)</f>
        <v>6530.22</v>
      </c>
      <c r="AH7" s="225">
        <f>SUM(AH6)</f>
        <v>6054.99</v>
      </c>
      <c r="AI7" s="226">
        <f t="shared" ref="AI7:AI18" si="0">(AG7-AB7)/AB7</f>
        <v>4.6861924686192567E-2</v>
      </c>
      <c r="AJ7" s="226"/>
      <c r="AK7" s="225">
        <f>SUM(AK6)</f>
        <v>6885.18</v>
      </c>
      <c r="AL7" s="225">
        <f>SUM(AL6)</f>
        <v>2763.32</v>
      </c>
      <c r="AM7" s="226">
        <f t="shared" ref="AM7:AM15" si="1">(AK7-AG7)/AG7</f>
        <v>5.4356514788169469E-2</v>
      </c>
      <c r="AN7" s="224"/>
      <c r="AO7" s="227">
        <f>SUM(AO6)</f>
        <v>7284.5100000000011</v>
      </c>
      <c r="AP7" s="227">
        <f>SUM(AP6)</f>
        <v>399.33000000000084</v>
      </c>
      <c r="AQ7" s="226">
        <f t="shared" ref="AQ7:AQ15" si="2">(AO7-AK7)/AK7</f>
        <v>5.7998483699772674E-2</v>
      </c>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396"/>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396"/>
      <c r="AR9" s="111"/>
    </row>
    <row r="10" spans="1:44" s="211" customFormat="1" x14ac:dyDescent="0.25">
      <c r="A10" s="211" t="s">
        <v>432</v>
      </c>
      <c r="B10" s="214" t="str">
        <f t="shared" ref="B10:B15" si="3">MID(A10,14,4)</f>
        <v>5303</v>
      </c>
      <c r="C10" s="211" t="s">
        <v>1495</v>
      </c>
      <c r="D10" s="245">
        <v>250</v>
      </c>
      <c r="E10" s="245">
        <v>0</v>
      </c>
      <c r="F10" s="216"/>
      <c r="G10" s="213"/>
      <c r="H10" s="245">
        <v>250</v>
      </c>
      <c r="I10" s="245">
        <v>0</v>
      </c>
      <c r="J10" s="216"/>
      <c r="K10" s="213"/>
      <c r="L10" s="245">
        <v>250</v>
      </c>
      <c r="M10" s="245">
        <v>125</v>
      </c>
      <c r="N10" s="216"/>
      <c r="O10" s="213"/>
      <c r="P10" s="245">
        <v>250</v>
      </c>
      <c r="Q10" s="245">
        <v>86</v>
      </c>
      <c r="R10" s="216"/>
      <c r="S10" s="213"/>
      <c r="T10" s="245">
        <v>250</v>
      </c>
      <c r="U10" s="245">
        <v>0</v>
      </c>
      <c r="V10" s="216"/>
      <c r="W10" s="213"/>
      <c r="X10" s="245">
        <v>250</v>
      </c>
      <c r="Y10" s="245">
        <v>0</v>
      </c>
      <c r="Z10" s="216">
        <v>0</v>
      </c>
      <c r="AA10" s="213"/>
      <c r="AB10" s="245">
        <v>500</v>
      </c>
      <c r="AC10" s="245">
        <v>62.5</v>
      </c>
      <c r="AD10" s="216">
        <f t="shared" ref="AD10:AD15" si="4">(AB10-X10)/X10</f>
        <v>1</v>
      </c>
      <c r="AE10" s="213"/>
      <c r="AF10" s="384">
        <v>500</v>
      </c>
      <c r="AG10" s="384">
        <v>500</v>
      </c>
      <c r="AH10" s="245">
        <v>0</v>
      </c>
      <c r="AI10" s="216">
        <f t="shared" si="0"/>
        <v>0</v>
      </c>
      <c r="AJ10" s="216"/>
      <c r="AK10" s="398">
        <v>500</v>
      </c>
      <c r="AL10" s="398">
        <v>0</v>
      </c>
      <c r="AM10" s="396">
        <f t="shared" si="1"/>
        <v>0</v>
      </c>
      <c r="AN10" s="397"/>
      <c r="AO10" s="157">
        <v>500</v>
      </c>
      <c r="AP10" s="399">
        <f t="shared" ref="AP10:AP15" si="5">AO10-AK10</f>
        <v>0</v>
      </c>
      <c r="AQ10" s="396">
        <f t="shared" si="2"/>
        <v>0</v>
      </c>
      <c r="AR10" s="289"/>
    </row>
    <row r="11" spans="1:44" s="211" customFormat="1" x14ac:dyDescent="0.25">
      <c r="A11" s="211" t="s">
        <v>433</v>
      </c>
      <c r="B11" s="214" t="str">
        <f t="shared" si="3"/>
        <v>5306</v>
      </c>
      <c r="C11" s="211" t="s">
        <v>1599</v>
      </c>
      <c r="D11" s="245">
        <v>500</v>
      </c>
      <c r="E11" s="245">
        <v>0</v>
      </c>
      <c r="F11" s="216"/>
      <c r="G11" s="213"/>
      <c r="H11" s="245">
        <v>500</v>
      </c>
      <c r="I11" s="245">
        <v>209.5</v>
      </c>
      <c r="J11" s="216"/>
      <c r="K11" s="213"/>
      <c r="L11" s="245">
        <v>500</v>
      </c>
      <c r="M11" s="245">
        <v>0</v>
      </c>
      <c r="N11" s="216"/>
      <c r="O11" s="213"/>
      <c r="P11" s="245">
        <v>500</v>
      </c>
      <c r="Q11" s="245">
        <v>0</v>
      </c>
      <c r="R11" s="216"/>
      <c r="S11" s="213"/>
      <c r="T11" s="245">
        <v>500</v>
      </c>
      <c r="U11" s="245">
        <v>29.05</v>
      </c>
      <c r="V11" s="216"/>
      <c r="W11" s="213"/>
      <c r="X11" s="245">
        <v>500</v>
      </c>
      <c r="Y11" s="245">
        <v>83.78</v>
      </c>
      <c r="Z11" s="216">
        <v>0</v>
      </c>
      <c r="AA11" s="213"/>
      <c r="AB11" s="245">
        <v>250</v>
      </c>
      <c r="AC11" s="245">
        <v>175.56</v>
      </c>
      <c r="AD11" s="216">
        <f t="shared" si="4"/>
        <v>-0.5</v>
      </c>
      <c r="AE11" s="213"/>
      <c r="AF11" s="245">
        <v>250</v>
      </c>
      <c r="AG11" s="245">
        <v>250</v>
      </c>
      <c r="AH11" s="245">
        <v>0</v>
      </c>
      <c r="AI11" s="216">
        <f t="shared" si="0"/>
        <v>0</v>
      </c>
      <c r="AJ11" s="216"/>
      <c r="AK11" s="398">
        <v>250</v>
      </c>
      <c r="AL11" s="398">
        <v>0</v>
      </c>
      <c r="AM11" s="396">
        <f t="shared" si="1"/>
        <v>0</v>
      </c>
      <c r="AN11" s="397"/>
      <c r="AO11" s="157">
        <v>250</v>
      </c>
      <c r="AP11" s="399">
        <f t="shared" si="5"/>
        <v>0</v>
      </c>
      <c r="AQ11" s="396">
        <f t="shared" si="2"/>
        <v>0</v>
      </c>
      <c r="AR11" s="289"/>
    </row>
    <row r="12" spans="1:44" s="211" customFormat="1" x14ac:dyDescent="0.25">
      <c r="A12" s="211" t="s">
        <v>434</v>
      </c>
      <c r="B12" s="214" t="str">
        <f t="shared" si="3"/>
        <v>5344</v>
      </c>
      <c r="C12" s="211" t="s">
        <v>1601</v>
      </c>
      <c r="D12" s="245">
        <v>300</v>
      </c>
      <c r="E12" s="245">
        <v>0.44</v>
      </c>
      <c r="F12" s="216"/>
      <c r="G12" s="213"/>
      <c r="H12" s="245">
        <v>300</v>
      </c>
      <c r="I12" s="245">
        <v>0</v>
      </c>
      <c r="J12" s="216"/>
      <c r="K12" s="213"/>
      <c r="L12" s="245">
        <v>300</v>
      </c>
      <c r="M12" s="245">
        <v>19.920000000000002</v>
      </c>
      <c r="N12" s="216"/>
      <c r="O12" s="213"/>
      <c r="P12" s="245">
        <v>300</v>
      </c>
      <c r="Q12" s="245">
        <v>0</v>
      </c>
      <c r="R12" s="216"/>
      <c r="S12" s="213"/>
      <c r="T12" s="245">
        <v>300</v>
      </c>
      <c r="U12" s="245">
        <v>3.84</v>
      </c>
      <c r="V12" s="216"/>
      <c r="W12" s="213"/>
      <c r="X12" s="245">
        <v>300</v>
      </c>
      <c r="Y12" s="245">
        <v>13.54</v>
      </c>
      <c r="Z12" s="216">
        <v>0</v>
      </c>
      <c r="AA12" s="213"/>
      <c r="AB12" s="245">
        <v>300</v>
      </c>
      <c r="AC12" s="245">
        <v>315.93</v>
      </c>
      <c r="AD12" s="216">
        <f t="shared" si="4"/>
        <v>0</v>
      </c>
      <c r="AE12" s="213"/>
      <c r="AF12" s="245">
        <v>300</v>
      </c>
      <c r="AG12" s="245">
        <v>300</v>
      </c>
      <c r="AH12" s="245">
        <v>30.58</v>
      </c>
      <c r="AI12" s="216">
        <f t="shared" si="0"/>
        <v>0</v>
      </c>
      <c r="AJ12" s="216"/>
      <c r="AK12" s="398">
        <v>350</v>
      </c>
      <c r="AL12" s="398">
        <v>1.41</v>
      </c>
      <c r="AM12" s="396">
        <f t="shared" si="1"/>
        <v>0.16666666666666666</v>
      </c>
      <c r="AN12" s="397"/>
      <c r="AO12" s="157">
        <v>350</v>
      </c>
      <c r="AP12" s="399">
        <f t="shared" si="5"/>
        <v>0</v>
      </c>
      <c r="AQ12" s="396">
        <f t="shared" si="2"/>
        <v>0</v>
      </c>
      <c r="AR12" s="159"/>
    </row>
    <row r="13" spans="1:44" s="211" customFormat="1" x14ac:dyDescent="0.25">
      <c r="A13" s="211" t="s">
        <v>435</v>
      </c>
      <c r="B13" s="214" t="str">
        <f t="shared" si="3"/>
        <v>5420</v>
      </c>
      <c r="C13" s="394" t="s">
        <v>1480</v>
      </c>
      <c r="D13" s="245">
        <v>100</v>
      </c>
      <c r="E13" s="245">
        <v>0</v>
      </c>
      <c r="F13" s="216"/>
      <c r="G13" s="213"/>
      <c r="H13" s="245">
        <v>100</v>
      </c>
      <c r="I13" s="245">
        <v>0</v>
      </c>
      <c r="J13" s="216"/>
      <c r="K13" s="213"/>
      <c r="L13" s="245">
        <v>100</v>
      </c>
      <c r="M13" s="245">
        <v>528</v>
      </c>
      <c r="N13" s="216"/>
      <c r="O13" s="213"/>
      <c r="P13" s="245">
        <v>100</v>
      </c>
      <c r="Q13" s="245">
        <v>14.5</v>
      </c>
      <c r="R13" s="216"/>
      <c r="S13" s="213"/>
      <c r="T13" s="245">
        <v>100</v>
      </c>
      <c r="U13" s="245">
        <v>0</v>
      </c>
      <c r="V13" s="216"/>
      <c r="W13" s="213"/>
      <c r="X13" s="245">
        <v>100</v>
      </c>
      <c r="Y13" s="245">
        <v>42.46</v>
      </c>
      <c r="Z13" s="216">
        <v>0</v>
      </c>
      <c r="AA13" s="213"/>
      <c r="AB13" s="245">
        <v>100</v>
      </c>
      <c r="AC13" s="245">
        <v>632.96</v>
      </c>
      <c r="AD13" s="216">
        <f t="shared" si="4"/>
        <v>0</v>
      </c>
      <c r="AE13" s="213"/>
      <c r="AF13" s="245">
        <v>50</v>
      </c>
      <c r="AG13" s="245">
        <v>50</v>
      </c>
      <c r="AH13" s="245">
        <v>2.4900000000000002</v>
      </c>
      <c r="AI13" s="216">
        <f t="shared" si="0"/>
        <v>-0.5</v>
      </c>
      <c r="AJ13" s="216"/>
      <c r="AK13" s="398">
        <v>50</v>
      </c>
      <c r="AL13" s="398">
        <v>2.4900000000000002</v>
      </c>
      <c r="AM13" s="396">
        <f t="shared" si="1"/>
        <v>0</v>
      </c>
      <c r="AN13" s="397"/>
      <c r="AO13" s="157">
        <v>50</v>
      </c>
      <c r="AP13" s="399">
        <f t="shared" si="5"/>
        <v>0</v>
      </c>
      <c r="AQ13" s="396">
        <f t="shared" si="2"/>
        <v>0</v>
      </c>
      <c r="AR13" s="400"/>
    </row>
    <row r="14" spans="1:44" s="211" customFormat="1" x14ac:dyDescent="0.25">
      <c r="A14" s="211" t="s">
        <v>1242</v>
      </c>
      <c r="B14" s="214" t="str">
        <f t="shared" si="3"/>
        <v>5589</v>
      </c>
      <c r="C14" s="394" t="s">
        <v>1604</v>
      </c>
      <c r="D14" s="245">
        <v>0</v>
      </c>
      <c r="E14" s="245">
        <v>0</v>
      </c>
      <c r="F14" s="216"/>
      <c r="G14" s="213"/>
      <c r="H14" s="245">
        <v>0</v>
      </c>
      <c r="I14" s="245">
        <v>0</v>
      </c>
      <c r="J14" s="216"/>
      <c r="K14" s="213"/>
      <c r="L14" s="245">
        <v>0</v>
      </c>
      <c r="M14" s="245">
        <v>0</v>
      </c>
      <c r="N14" s="216"/>
      <c r="O14" s="213"/>
      <c r="P14" s="245">
        <v>0</v>
      </c>
      <c r="Q14" s="245">
        <v>0</v>
      </c>
      <c r="R14" s="216"/>
      <c r="S14" s="213"/>
      <c r="T14" s="245">
        <v>0</v>
      </c>
      <c r="U14" s="245">
        <v>0</v>
      </c>
      <c r="V14" s="216"/>
      <c r="W14" s="213"/>
      <c r="X14" s="245">
        <v>0</v>
      </c>
      <c r="Y14" s="245">
        <v>0</v>
      </c>
      <c r="Z14" s="216" t="e">
        <v>#DIV/0!</v>
      </c>
      <c r="AA14" s="213"/>
      <c r="AB14" s="245">
        <v>0</v>
      </c>
      <c r="AC14" s="245">
        <v>106.27</v>
      </c>
      <c r="AD14" s="216" t="e">
        <f t="shared" si="4"/>
        <v>#DIV/0!</v>
      </c>
      <c r="AE14" s="213"/>
      <c r="AF14" s="245">
        <v>50</v>
      </c>
      <c r="AG14" s="245">
        <v>50</v>
      </c>
      <c r="AH14" s="245">
        <v>0</v>
      </c>
      <c r="AI14" s="216" t="e">
        <f t="shared" si="0"/>
        <v>#DIV/0!</v>
      </c>
      <c r="AJ14" s="216"/>
      <c r="AK14" s="398">
        <v>50</v>
      </c>
      <c r="AL14" s="398">
        <v>0</v>
      </c>
      <c r="AM14" s="396">
        <f t="shared" si="1"/>
        <v>0</v>
      </c>
      <c r="AN14" s="397"/>
      <c r="AO14" s="157">
        <v>50</v>
      </c>
      <c r="AP14" s="399">
        <f t="shared" si="5"/>
        <v>0</v>
      </c>
      <c r="AQ14" s="396">
        <f t="shared" si="2"/>
        <v>0</v>
      </c>
      <c r="AR14" s="288"/>
    </row>
    <row r="15" spans="1:44" s="211" customFormat="1" x14ac:dyDescent="0.25">
      <c r="A15" s="211" t="s">
        <v>436</v>
      </c>
      <c r="B15" s="214" t="str">
        <f t="shared" si="3"/>
        <v>5700</v>
      </c>
      <c r="C15" s="394" t="s">
        <v>1825</v>
      </c>
      <c r="D15" s="245">
        <v>23806</v>
      </c>
      <c r="E15" s="245">
        <v>23806</v>
      </c>
      <c r="F15" s="216"/>
      <c r="G15" s="213"/>
      <c r="H15" s="245">
        <v>23835</v>
      </c>
      <c r="I15" s="245">
        <v>23835</v>
      </c>
      <c r="J15" s="216"/>
      <c r="K15" s="213"/>
      <c r="L15" s="245">
        <v>26380</v>
      </c>
      <c r="M15" s="245">
        <v>26380</v>
      </c>
      <c r="N15" s="216"/>
      <c r="O15" s="213"/>
      <c r="P15" s="245">
        <v>27040</v>
      </c>
      <c r="Q15" s="245">
        <v>27040</v>
      </c>
      <c r="R15" s="216"/>
      <c r="S15" s="213"/>
      <c r="T15" s="245">
        <v>28636</v>
      </c>
      <c r="U15" s="245">
        <v>28636</v>
      </c>
      <c r="V15" s="216"/>
      <c r="W15" s="213"/>
      <c r="X15" s="245">
        <v>29240</v>
      </c>
      <c r="Y15" s="245">
        <v>29240</v>
      </c>
      <c r="Z15" s="216">
        <v>2.1092331331191507E-2</v>
      </c>
      <c r="AA15" s="213"/>
      <c r="AB15" s="245">
        <v>34987</v>
      </c>
      <c r="AC15" s="245">
        <v>34987</v>
      </c>
      <c r="AD15" s="216">
        <f t="shared" si="4"/>
        <v>0.19654582763337894</v>
      </c>
      <c r="AE15" s="213"/>
      <c r="AF15" s="245">
        <v>36592</v>
      </c>
      <c r="AG15" s="245">
        <v>36592</v>
      </c>
      <c r="AH15" s="245">
        <v>36592</v>
      </c>
      <c r="AI15" s="216">
        <f t="shared" si="0"/>
        <v>4.5874181838968763E-2</v>
      </c>
      <c r="AJ15" s="216"/>
      <c r="AK15" s="398">
        <v>33903</v>
      </c>
      <c r="AL15" s="398">
        <v>33903</v>
      </c>
      <c r="AM15" s="396">
        <f t="shared" si="1"/>
        <v>-7.34860078705728E-2</v>
      </c>
      <c r="AN15" s="397"/>
      <c r="AO15" s="157">
        <v>39381</v>
      </c>
      <c r="AP15" s="399">
        <f t="shared" si="5"/>
        <v>5478</v>
      </c>
      <c r="AQ15" s="396">
        <f t="shared" si="2"/>
        <v>0.1615786213609415</v>
      </c>
      <c r="AR15" s="288" t="s">
        <v>1083</v>
      </c>
    </row>
    <row r="16" spans="1:44" s="114" customFormat="1" x14ac:dyDescent="0.25">
      <c r="A16" s="219"/>
      <c r="B16" s="219"/>
      <c r="C16" s="219" t="s">
        <v>279</v>
      </c>
      <c r="D16" s="220">
        <f>SUM(D10:D15)</f>
        <v>24956</v>
      </c>
      <c r="E16" s="220">
        <f>SUM(E10:E15)</f>
        <v>23806.44</v>
      </c>
      <c r="F16" s="221">
        <v>0.1019</v>
      </c>
      <c r="G16" s="219"/>
      <c r="H16" s="220">
        <f>SUM(H10:H15)</f>
        <v>24985</v>
      </c>
      <c r="I16" s="220">
        <f>SUM(I10:I15)</f>
        <v>24044.5</v>
      </c>
      <c r="J16" s="221">
        <v>0.1019</v>
      </c>
      <c r="K16" s="219"/>
      <c r="L16" s="220">
        <f>SUM(L10:L15)</f>
        <v>27530</v>
      </c>
      <c r="M16" s="220">
        <f>SUM(M10:M15)</f>
        <v>27052.92</v>
      </c>
      <c r="N16" s="221">
        <v>0.1019</v>
      </c>
      <c r="O16" s="219"/>
      <c r="P16" s="220">
        <f>SUM(P10:P15)</f>
        <v>28190</v>
      </c>
      <c r="Q16" s="220">
        <f>SUM(Q10:Q15)</f>
        <v>27140.5</v>
      </c>
      <c r="R16" s="221">
        <v>0.1019</v>
      </c>
      <c r="S16" s="219"/>
      <c r="T16" s="220">
        <f>SUM(T10:T15)</f>
        <v>29786</v>
      </c>
      <c r="U16" s="220">
        <f>SUM(U10:U15)</f>
        <v>28668.89</v>
      </c>
      <c r="V16" s="221">
        <v>0.1019</v>
      </c>
      <c r="W16" s="219"/>
      <c r="X16" s="220">
        <f>SUM(X10:X15)</f>
        <v>30390</v>
      </c>
      <c r="Y16" s="220">
        <f>SUM(Y10:Y15)</f>
        <v>29379.78</v>
      </c>
      <c r="Z16" s="222">
        <f>(X16-T16)/T16</f>
        <v>2.0277982945007721E-2</v>
      </c>
      <c r="AA16" s="219"/>
      <c r="AB16" s="220">
        <f>SUM(AB10:AB15)</f>
        <v>36137</v>
      </c>
      <c r="AC16" s="220">
        <f>SUM(AC10:AC15)</f>
        <v>36280.22</v>
      </c>
      <c r="AD16" s="221">
        <f>(AB16-X16)/X16</f>
        <v>0.18910825929582101</v>
      </c>
      <c r="AE16" s="219"/>
      <c r="AF16" s="220">
        <f>SUM(AF10:AF15)</f>
        <v>37742</v>
      </c>
      <c r="AG16" s="220">
        <f>SUM(AG10:AG15)</f>
        <v>37742</v>
      </c>
      <c r="AH16" s="220">
        <f>SUM(AH10:AH15)</f>
        <v>36625.07</v>
      </c>
      <c r="AI16" s="221">
        <f t="shared" si="0"/>
        <v>4.441431220079143E-2</v>
      </c>
      <c r="AJ16" s="221"/>
      <c r="AK16" s="401">
        <f>SUM(AK10:AK15)</f>
        <v>35103</v>
      </c>
      <c r="AL16" s="401">
        <f>SUM(AL10:AL15)</f>
        <v>33906.9</v>
      </c>
      <c r="AM16" s="221">
        <f>(AK16-AG16)/AG16</f>
        <v>-6.9922102697260347E-2</v>
      </c>
      <c r="AN16" s="219"/>
      <c r="AO16" s="223">
        <f>SUM(AO10:AO15)</f>
        <v>40581</v>
      </c>
      <c r="AP16" s="220">
        <f>SUM(AP10:AP15)</f>
        <v>5478</v>
      </c>
      <c r="AQ16" s="221">
        <f>(AO16-AK16)/AK16</f>
        <v>0.15605503803093754</v>
      </c>
      <c r="AR16" s="219" t="s">
        <v>1826</v>
      </c>
    </row>
    <row r="17" spans="1:45" s="211" customFormat="1" x14ac:dyDescent="0.25">
      <c r="D17" s="112"/>
      <c r="E17" s="112"/>
      <c r="F17" s="216"/>
      <c r="G17" s="213"/>
      <c r="H17" s="112"/>
      <c r="I17" s="112"/>
      <c r="J17" s="216"/>
      <c r="K17" s="213"/>
      <c r="L17" s="112"/>
      <c r="M17" s="112"/>
      <c r="N17" s="216"/>
      <c r="O17" s="213"/>
      <c r="P17" s="112"/>
      <c r="Q17" s="112"/>
      <c r="R17" s="216"/>
      <c r="S17" s="213"/>
      <c r="T17" s="112"/>
      <c r="U17" s="112"/>
      <c r="V17" s="216"/>
      <c r="W17" s="213"/>
      <c r="X17" s="112"/>
      <c r="Y17" s="112"/>
      <c r="Z17" s="216"/>
      <c r="AA17" s="213"/>
      <c r="AB17" s="112"/>
      <c r="AC17" s="112"/>
      <c r="AD17" s="216"/>
      <c r="AE17" s="213"/>
      <c r="AF17" s="112"/>
      <c r="AG17" s="112"/>
      <c r="AH17" s="112"/>
      <c r="AI17" s="216"/>
      <c r="AJ17" s="216"/>
      <c r="AK17" s="112"/>
      <c r="AL17" s="112"/>
      <c r="AM17" s="396"/>
      <c r="AN17" s="397"/>
      <c r="AO17" s="212"/>
      <c r="AP17" s="212"/>
      <c r="AQ17" s="396"/>
    </row>
    <row r="18" spans="1:45" s="114" customFormat="1" ht="12.75" x14ac:dyDescent="0.2">
      <c r="A18" s="228"/>
      <c r="B18" s="228"/>
      <c r="C18" s="233" t="s">
        <v>280</v>
      </c>
      <c r="D18" s="230">
        <f>D7+D16</f>
        <v>36445</v>
      </c>
      <c r="E18" s="230">
        <f>E7+E16</f>
        <v>35229.64</v>
      </c>
      <c r="F18" s="231">
        <v>8.9899999999999994E-2</v>
      </c>
      <c r="G18" s="228"/>
      <c r="H18" s="230">
        <f>H7+H16</f>
        <v>37184</v>
      </c>
      <c r="I18" s="230">
        <f>I7+I16</f>
        <v>33714.57</v>
      </c>
      <c r="J18" s="231">
        <v>8.9899999999999994E-2</v>
      </c>
      <c r="K18" s="228"/>
      <c r="L18" s="230">
        <f>L7+L16</f>
        <v>40527.800000000003</v>
      </c>
      <c r="M18" s="230">
        <f>M7+M16</f>
        <v>29603.159999999996</v>
      </c>
      <c r="N18" s="231">
        <v>8.9899999999999994E-2</v>
      </c>
      <c r="O18" s="228"/>
      <c r="P18" s="230">
        <f>P7+P16</f>
        <v>35328.35</v>
      </c>
      <c r="Q18" s="230">
        <f>Q7+Q16</f>
        <v>32473.75</v>
      </c>
      <c r="R18" s="231">
        <v>8.9899999999999994E-2</v>
      </c>
      <c r="S18" s="228"/>
      <c r="T18" s="230">
        <f>T7+T16</f>
        <v>37031.360000000001</v>
      </c>
      <c r="U18" s="230">
        <f>U7+U16</f>
        <v>32587.97</v>
      </c>
      <c r="V18" s="231">
        <v>8.9899999999999994E-2</v>
      </c>
      <c r="W18" s="228"/>
      <c r="X18" s="230">
        <f>X7+X16</f>
        <v>37757.440000000002</v>
      </c>
      <c r="Y18" s="230">
        <f>Y7+Y16</f>
        <v>32551.37</v>
      </c>
      <c r="Z18" s="231">
        <f>(X18-T18)/T18</f>
        <v>1.9607165386310462E-2</v>
      </c>
      <c r="AA18" s="228"/>
      <c r="AB18" s="230">
        <f>AB7+AB16</f>
        <v>42374.9</v>
      </c>
      <c r="AC18" s="230">
        <f>AC7+AC16</f>
        <v>41412.53</v>
      </c>
      <c r="AD18" s="231">
        <f>(AB18-X18)/X18</f>
        <v>0.12229271899789813</v>
      </c>
      <c r="AE18" s="228"/>
      <c r="AF18" s="230">
        <f>AF7+AF16</f>
        <v>44256.56</v>
      </c>
      <c r="AG18" s="382">
        <f>AG7+AG16</f>
        <v>44272.22</v>
      </c>
      <c r="AH18" s="230">
        <f>AH7+AH16</f>
        <v>42680.06</v>
      </c>
      <c r="AI18" s="231">
        <f t="shared" si="0"/>
        <v>4.4774618937153829E-2</v>
      </c>
      <c r="AJ18" s="231"/>
      <c r="AK18" s="402">
        <f>AK7+AK16</f>
        <v>41988.18</v>
      </c>
      <c r="AL18" s="402">
        <f>AL7+AL16</f>
        <v>36670.22</v>
      </c>
      <c r="AM18" s="231">
        <f>(AK18-AG18)/AG18</f>
        <v>-5.1590816995398033E-2</v>
      </c>
      <c r="AN18" s="228"/>
      <c r="AO18" s="232">
        <f>AO7+AO16</f>
        <v>47865.51</v>
      </c>
      <c r="AP18" s="230">
        <f>AP7+AP16</f>
        <v>5877.3300000000008</v>
      </c>
      <c r="AQ18" s="231">
        <f>(AO18-AK18)/AK18</f>
        <v>0.13997582176698303</v>
      </c>
      <c r="AR18" s="233"/>
    </row>
    <row r="19" spans="1:45" x14ac:dyDescent="0.25">
      <c r="D19" s="120"/>
      <c r="H19" s="120"/>
      <c r="L19" s="120"/>
      <c r="P19" s="120"/>
      <c r="T19" s="120"/>
      <c r="X19" s="120"/>
      <c r="AB19" s="120"/>
      <c r="AF19" s="120"/>
      <c r="AG19" s="120"/>
      <c r="AK19" s="403"/>
      <c r="AO19" s="279"/>
      <c r="AQ19" s="211"/>
    </row>
    <row r="20" spans="1:45" s="111" customFormat="1" thickBot="1" x14ac:dyDescent="0.25">
      <c r="C20" s="111" t="s">
        <v>281</v>
      </c>
      <c r="D20" s="122"/>
      <c r="E20" s="121">
        <f>D18-E18</f>
        <v>1215.3600000000006</v>
      </c>
      <c r="G20" s="118"/>
      <c r="H20" s="122"/>
      <c r="I20" s="121">
        <f>H18-I18</f>
        <v>3469.4300000000003</v>
      </c>
      <c r="K20" s="118"/>
      <c r="L20" s="122"/>
      <c r="M20" s="121">
        <f>L18-M18</f>
        <v>10924.640000000007</v>
      </c>
      <c r="O20" s="118"/>
      <c r="P20" s="122"/>
      <c r="Q20" s="121">
        <f>P18-Q18</f>
        <v>2854.5999999999985</v>
      </c>
      <c r="S20" s="118"/>
      <c r="T20" s="122"/>
      <c r="U20" s="121">
        <f>T18-U18</f>
        <v>4443.3899999999994</v>
      </c>
      <c r="W20" s="118"/>
      <c r="X20" s="122"/>
      <c r="Y20" s="121">
        <f>X18-Y18</f>
        <v>5206.0700000000033</v>
      </c>
      <c r="AA20" s="118"/>
      <c r="AB20" s="122"/>
      <c r="AC20" s="121">
        <f>AB18-AC18</f>
        <v>962.37000000000262</v>
      </c>
      <c r="AE20" s="118"/>
      <c r="AF20" s="122"/>
      <c r="AG20" s="122"/>
      <c r="AH20" s="121">
        <f>AG18-AH18</f>
        <v>1592.1600000000035</v>
      </c>
      <c r="AK20" s="122"/>
      <c r="AL20" s="121">
        <f>AK18-AL18</f>
        <v>5317.9599999999991</v>
      </c>
      <c r="AN20" s="118"/>
      <c r="AO20" s="123"/>
      <c r="AP20" s="123"/>
    </row>
    <row r="21" spans="1:45" ht="14.25" thickTop="1" x14ac:dyDescent="0.25">
      <c r="D21" s="120"/>
      <c r="F21" s="216"/>
      <c r="H21" s="120"/>
      <c r="J21" s="216"/>
      <c r="L21" s="120"/>
      <c r="N21" s="216"/>
      <c r="P21" s="120"/>
      <c r="R21" s="216"/>
      <c r="T21" s="120"/>
      <c r="V21" s="80"/>
      <c r="X21" s="120"/>
      <c r="AB21" s="120"/>
      <c r="AF21" s="120"/>
      <c r="AG21" s="120"/>
      <c r="AK21" s="403"/>
      <c r="AO21" s="240" t="s">
        <v>1195</v>
      </c>
      <c r="AP21" s="241"/>
      <c r="AQ21" s="242"/>
      <c r="AR21" s="211"/>
      <c r="AS21" s="211"/>
    </row>
    <row r="22" spans="1:45" x14ac:dyDescent="0.25">
      <c r="F22" s="216"/>
      <c r="J22" s="216"/>
      <c r="N22" s="216"/>
      <c r="R22" s="216"/>
      <c r="V22" s="80"/>
      <c r="AO22" s="243" t="s">
        <v>313</v>
      </c>
      <c r="AP22" s="5"/>
      <c r="AQ22" s="299">
        <f>AO7*0.0145</f>
        <v>105.62539500000003</v>
      </c>
      <c r="AR22" s="211"/>
      <c r="AS22" s="211"/>
    </row>
    <row r="23" spans="1:45" x14ac:dyDescent="0.25">
      <c r="D23" s="127"/>
      <c r="E23" s="142"/>
      <c r="F23" s="133"/>
      <c r="G23" s="129"/>
      <c r="H23" s="127"/>
      <c r="I23" s="142"/>
      <c r="J23" s="133"/>
      <c r="K23" s="129"/>
      <c r="L23" s="127"/>
      <c r="M23" s="142"/>
      <c r="N23" s="133"/>
      <c r="O23" s="129"/>
      <c r="P23" s="127"/>
      <c r="Q23" s="142"/>
      <c r="R23" s="133"/>
      <c r="S23" s="129"/>
      <c r="T23" s="127"/>
      <c r="U23" s="142"/>
      <c r="V23" s="133"/>
      <c r="W23" s="129"/>
      <c r="X23" s="127"/>
      <c r="Y23" s="142"/>
      <c r="AB23" s="127"/>
      <c r="AC23" s="142"/>
      <c r="AF23" s="127"/>
      <c r="AG23" s="127"/>
      <c r="AH23" s="142"/>
      <c r="AK23" s="127"/>
      <c r="AL23" s="142"/>
      <c r="AO23" s="210" t="s">
        <v>314</v>
      </c>
      <c r="AP23" s="5"/>
      <c r="AQ23" s="299">
        <f>AO7*0.0009</f>
        <v>6.5560590000000012</v>
      </c>
      <c r="AR23" s="211"/>
      <c r="AS23" s="211"/>
    </row>
    <row r="24" spans="1:45" x14ac:dyDescent="0.25">
      <c r="F24" s="216"/>
      <c r="J24" s="216"/>
      <c r="N24" s="216"/>
      <c r="R24" s="216"/>
      <c r="V24" s="80"/>
      <c r="AO24" s="210" t="s">
        <v>315</v>
      </c>
      <c r="AP24" s="5"/>
      <c r="AQ24" s="299">
        <f>AO7*0.003</f>
        <v>21.853530000000003</v>
      </c>
      <c r="AR24" s="211"/>
      <c r="AS24" s="211"/>
    </row>
    <row r="25" spans="1:45" x14ac:dyDescent="0.25">
      <c r="F25" s="216"/>
      <c r="J25" s="216"/>
      <c r="N25" s="216"/>
      <c r="R25" s="216"/>
      <c r="V25" s="80"/>
      <c r="AO25" s="210" t="s">
        <v>316</v>
      </c>
      <c r="AP25" s="5"/>
      <c r="AQ25" s="299">
        <f>'County Retirement'!G15</f>
        <v>890.91634787404928</v>
      </c>
      <c r="AR25" s="211"/>
      <c r="AS25" s="211"/>
    </row>
    <row r="26" spans="1:45" x14ac:dyDescent="0.25">
      <c r="F26" s="216"/>
      <c r="J26" s="216"/>
      <c r="N26" s="216"/>
      <c r="R26" s="216"/>
      <c r="V26" s="80"/>
      <c r="AO26" s="210" t="s">
        <v>1153</v>
      </c>
      <c r="AP26" s="5"/>
      <c r="AQ26" s="300" t="s">
        <v>1093</v>
      </c>
      <c r="AR26" s="211"/>
      <c r="AS26" s="211"/>
    </row>
    <row r="27" spans="1:45" x14ac:dyDescent="0.25">
      <c r="F27" s="216"/>
      <c r="J27" s="216"/>
      <c r="N27" s="216"/>
      <c r="R27" s="216"/>
      <c r="V27" s="80"/>
      <c r="AO27" s="235"/>
      <c r="AP27" s="237"/>
      <c r="AQ27" s="301">
        <f>SUM(AQ22:AQ26)</f>
        <v>1024.9513318740494</v>
      </c>
      <c r="AR27" s="211"/>
      <c r="AS27" s="211"/>
    </row>
    <row r="28" spans="1:45" x14ac:dyDescent="0.25">
      <c r="F28" s="216"/>
      <c r="J28" s="216"/>
      <c r="N28" s="216"/>
      <c r="R28" s="216"/>
      <c r="V28" s="80"/>
      <c r="AO28" s="212"/>
      <c r="AP28" s="212"/>
      <c r="AQ28" s="211"/>
      <c r="AR28" s="211"/>
      <c r="AS28" s="211"/>
    </row>
    <row r="29" spans="1:45" x14ac:dyDescent="0.25">
      <c r="F29" s="216"/>
      <c r="J29" s="216"/>
      <c r="N29" s="216"/>
      <c r="R29" s="216"/>
      <c r="V29" s="80"/>
      <c r="AO29" s="212"/>
      <c r="AP29" s="212"/>
      <c r="AQ29" s="211"/>
      <c r="AR29" s="211"/>
      <c r="AS29" s="211"/>
    </row>
    <row r="30" spans="1:45" x14ac:dyDescent="0.25">
      <c r="D30" s="120"/>
      <c r="F30" s="216"/>
      <c r="H30" s="120"/>
      <c r="J30" s="216"/>
      <c r="L30" s="120"/>
      <c r="N30" s="216"/>
      <c r="P30" s="120"/>
      <c r="R30" s="216"/>
      <c r="T30" s="120"/>
      <c r="V30" s="80"/>
      <c r="X30" s="120"/>
      <c r="AB30" s="120"/>
      <c r="AF30" s="120"/>
      <c r="AG30" s="120"/>
      <c r="AK30" s="403"/>
      <c r="AO30" s="212"/>
      <c r="AP30" s="212"/>
      <c r="AQ30" s="211"/>
      <c r="AR30" s="211"/>
      <c r="AS30" s="211"/>
    </row>
    <row r="31" spans="1:45" x14ac:dyDescent="0.25">
      <c r="D31" s="120"/>
      <c r="F31" s="216"/>
      <c r="H31" s="120"/>
      <c r="J31" s="216"/>
      <c r="L31" s="120"/>
      <c r="N31" s="216"/>
      <c r="P31" s="120"/>
      <c r="R31" s="216"/>
      <c r="T31" s="120"/>
      <c r="V31" s="80"/>
      <c r="X31" s="120"/>
      <c r="AB31" s="120"/>
      <c r="AF31" s="120"/>
      <c r="AG31" s="120"/>
      <c r="AK31" s="403"/>
      <c r="AO31" s="131"/>
      <c r="AP31" s="131"/>
      <c r="AQ31" s="211"/>
      <c r="AR31" s="211"/>
      <c r="AS31" s="211"/>
    </row>
    <row r="32" spans="1:45" x14ac:dyDescent="0.25">
      <c r="D32" s="120"/>
      <c r="F32" s="216"/>
      <c r="H32" s="120"/>
      <c r="J32" s="216"/>
      <c r="L32" s="120"/>
      <c r="N32" s="216"/>
      <c r="P32" s="120"/>
      <c r="R32" s="216"/>
      <c r="T32" s="120"/>
      <c r="V32" s="80"/>
      <c r="X32" s="120"/>
      <c r="AB32" s="120"/>
      <c r="AF32" s="120"/>
      <c r="AG32" s="120"/>
      <c r="AK32" s="403"/>
      <c r="AO32" s="131"/>
      <c r="AP32" s="131"/>
      <c r="AQ32" s="211"/>
      <c r="AR32" s="211"/>
      <c r="AS32" s="211"/>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F38" s="216"/>
      <c r="H38" s="120"/>
      <c r="J38" s="216"/>
      <c r="L38" s="120"/>
      <c r="N38" s="216"/>
      <c r="P38" s="120"/>
      <c r="R38" s="216"/>
      <c r="T38" s="120"/>
      <c r="V38" s="80"/>
      <c r="X38" s="120"/>
      <c r="AB38" s="120"/>
      <c r="AF38" s="120"/>
      <c r="AG38" s="120"/>
      <c r="AK38" s="403"/>
    </row>
    <row r="39" spans="4:37" x14ac:dyDescent="0.25">
      <c r="D39" s="120"/>
      <c r="F39" s="216"/>
      <c r="H39" s="120"/>
      <c r="J39" s="216"/>
      <c r="L39" s="120"/>
      <c r="N39" s="216"/>
      <c r="P39" s="120"/>
      <c r="R39" s="216"/>
      <c r="T39" s="120"/>
      <c r="V39" s="80"/>
      <c r="X39" s="120"/>
      <c r="AB39" s="120"/>
      <c r="AF39" s="120"/>
      <c r="AG39" s="120"/>
      <c r="AK39" s="403"/>
    </row>
    <row r="40" spans="4:37" x14ac:dyDescent="0.25">
      <c r="D40" s="120"/>
      <c r="F40" s="216"/>
      <c r="H40" s="120"/>
      <c r="J40" s="216"/>
      <c r="L40" s="120"/>
      <c r="N40" s="216"/>
      <c r="P40" s="120"/>
      <c r="R40" s="216"/>
      <c r="T40" s="120"/>
      <c r="V40" s="8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8" orientation="landscape" copies="15" r:id="rId1"/>
  <headerFooter alignWithMargins="0">
    <oddHeader>&amp;C&amp;"-,Bold"Proposed Budget &amp; Analysis Report for FY20</oddHeader>
    <oddFooter>&amp;C&amp;D&amp;T&amp;R&amp;A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398"/>
  <sheetViews>
    <sheetView topLeftCell="A3"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1.85546875" style="161" customWidth="1"/>
    <col min="4" max="4" width="13.28515625" style="211" hidden="1" customWidth="1"/>
    <col min="5" max="5" width="11.5703125" style="211" hidden="1" customWidth="1"/>
    <col min="6" max="6" width="6.140625" style="211" hidden="1" customWidth="1"/>
    <col min="7" max="7" width="1.85546875" style="213" hidden="1" customWidth="1"/>
    <col min="8" max="8" width="13.28515625" style="211" hidden="1" customWidth="1"/>
    <col min="9" max="9" width="11.5703125" style="211" hidden="1" customWidth="1"/>
    <col min="10" max="10" width="6.140625" style="211" hidden="1" customWidth="1"/>
    <col min="11" max="11" width="1.85546875" style="213" hidden="1" customWidth="1"/>
    <col min="12" max="12" width="13.28515625" style="211" hidden="1" customWidth="1"/>
    <col min="13" max="13" width="11.5703125" style="211" hidden="1" customWidth="1"/>
    <col min="14" max="14" width="6.140625" style="211" hidden="1" customWidth="1"/>
    <col min="15" max="15" width="1.85546875" style="213" hidden="1" customWidth="1"/>
    <col min="16" max="16" width="13.28515625" style="211" hidden="1" customWidth="1"/>
    <col min="17" max="17" width="11.5703125" style="211" hidden="1" customWidth="1"/>
    <col min="18" max="18" width="6.140625" style="211" hidden="1" customWidth="1"/>
    <col min="19" max="19" width="1.85546875" style="213" hidden="1" customWidth="1"/>
    <col min="20" max="20" width="13.28515625" style="161" hidden="1" customWidth="1"/>
    <col min="21" max="21" width="11.5703125" style="161" hidden="1" customWidth="1"/>
    <col min="22" max="22" width="6.140625" style="161" hidden="1" customWidth="1"/>
    <col min="23" max="23" width="1.85546875" style="103" hidden="1" customWidth="1"/>
    <col min="24" max="25" width="11.5703125" style="161" hidden="1" customWidth="1"/>
    <col min="26" max="26" width="8.28515625" style="161" hidden="1" customWidth="1"/>
    <col min="27" max="27" width="1.85546875" style="103" hidden="1" customWidth="1"/>
    <col min="28" max="29" width="11.5703125" style="161" customWidth="1"/>
    <col min="30" max="30" width="8.28515625" style="161" customWidth="1"/>
    <col min="31" max="31" width="1.85546875" style="213" customWidth="1"/>
    <col min="32" max="32" width="11.5703125" style="211" hidden="1" customWidth="1"/>
    <col min="33" max="34" width="11.5703125" style="211" customWidth="1"/>
    <col min="35" max="35" width="8.5703125" style="211" bestFit="1" customWidth="1"/>
    <col min="36" max="36" width="1.85546875" style="161" customWidth="1"/>
    <col min="37" max="38" width="11.5703125" style="394" customWidth="1"/>
    <col min="39" max="39" width="8.5703125" style="394" bestFit="1" customWidth="1"/>
    <col min="40" max="40" width="1.85546875" style="394" customWidth="1"/>
    <col min="41" max="41" width="13.5703125" style="104" customWidth="1"/>
    <col min="42" max="42" width="12.28515625" style="104" bestFit="1" customWidth="1"/>
    <col min="43" max="43" width="11.5703125" style="161" bestFit="1" customWidth="1"/>
    <col min="44" max="44" width="38.28515625" style="161" customWidth="1"/>
    <col min="45" max="16384" width="9.140625" style="161"/>
  </cols>
  <sheetData>
    <row r="1" spans="1:44" s="211" customFormat="1" hidden="1" x14ac:dyDescent="0.25">
      <c r="G1" s="213"/>
      <c r="K1" s="213"/>
      <c r="O1" s="213"/>
      <c r="S1" s="213"/>
      <c r="W1" s="213"/>
      <c r="AA1" s="213"/>
      <c r="AE1" s="213"/>
      <c r="AK1" s="394"/>
      <c r="AL1" s="394"/>
      <c r="AM1" s="394"/>
      <c r="AN1" s="394"/>
      <c r="AO1" s="212"/>
      <c r="AP1" s="212"/>
    </row>
    <row r="2" spans="1:44" hidden="1" x14ac:dyDescent="0.25"/>
    <row r="3" spans="1:44" x14ac:dyDescent="0.25">
      <c r="D3" s="807" t="s">
        <v>1366</v>
      </c>
      <c r="E3" s="808"/>
      <c r="F3" s="809"/>
      <c r="H3" s="807" t="s">
        <v>1365</v>
      </c>
      <c r="I3" s="808"/>
      <c r="J3" s="809"/>
      <c r="L3" s="807" t="s">
        <v>1364</v>
      </c>
      <c r="M3" s="808"/>
      <c r="N3" s="809"/>
      <c r="P3" s="807" t="s">
        <v>110</v>
      </c>
      <c r="Q3" s="808"/>
      <c r="R3" s="809"/>
      <c r="T3" s="807" t="s">
        <v>271</v>
      </c>
      <c r="U3" s="808"/>
      <c r="V3" s="809"/>
      <c r="X3" s="807" t="s">
        <v>980</v>
      </c>
      <c r="Y3" s="808"/>
      <c r="Z3" s="809"/>
      <c r="AA3" s="118"/>
      <c r="AB3" s="807" t="s">
        <v>1124</v>
      </c>
      <c r="AC3" s="808"/>
      <c r="AD3" s="809"/>
      <c r="AE3" s="118"/>
      <c r="AF3" s="807" t="s">
        <v>1363</v>
      </c>
      <c r="AG3" s="808"/>
      <c r="AH3" s="808"/>
      <c r="AI3" s="809"/>
      <c r="AJ3" s="201"/>
      <c r="AK3" s="807" t="s">
        <v>1592</v>
      </c>
      <c r="AL3" s="808"/>
      <c r="AM3" s="808"/>
      <c r="AN3" s="809"/>
      <c r="AO3" s="805" t="s">
        <v>1593</v>
      </c>
      <c r="AP3" s="805"/>
      <c r="AQ3" s="805"/>
      <c r="AR3" s="805"/>
    </row>
    <row r="4" spans="1:44" s="111" customFormat="1" ht="27" x14ac:dyDescent="0.25">
      <c r="A4" s="272"/>
      <c r="B4" s="272"/>
      <c r="C4" s="564" t="s">
        <v>1985</v>
      </c>
      <c r="D4" s="106" t="s">
        <v>98</v>
      </c>
      <c r="E4" s="106" t="s">
        <v>27</v>
      </c>
      <c r="F4" s="106" t="s">
        <v>273</v>
      </c>
      <c r="G4" s="118"/>
      <c r="H4" s="106" t="s">
        <v>98</v>
      </c>
      <c r="I4" s="106" t="s">
        <v>27</v>
      </c>
      <c r="J4" s="106" t="s">
        <v>273</v>
      </c>
      <c r="K4" s="118"/>
      <c r="L4" s="106" t="s">
        <v>98</v>
      </c>
      <c r="M4" s="106" t="s">
        <v>27</v>
      </c>
      <c r="N4" s="106" t="s">
        <v>273</v>
      </c>
      <c r="O4" s="118"/>
      <c r="P4" s="106" t="s">
        <v>98</v>
      </c>
      <c r="Q4" s="106" t="s">
        <v>27</v>
      </c>
      <c r="R4" s="106" t="s">
        <v>273</v>
      </c>
      <c r="S4" s="118"/>
      <c r="T4" s="106" t="s">
        <v>98</v>
      </c>
      <c r="U4" s="106" t="s">
        <v>27</v>
      </c>
      <c r="V4" s="106" t="s">
        <v>273</v>
      </c>
      <c r="W4" s="118"/>
      <c r="X4" s="106" t="s">
        <v>98</v>
      </c>
      <c r="Y4" s="106" t="s">
        <v>27</v>
      </c>
      <c r="Z4" s="106" t="s">
        <v>273</v>
      </c>
      <c r="AA4" s="103"/>
      <c r="AB4" s="106" t="s">
        <v>98</v>
      </c>
      <c r="AC4" s="106" t="s">
        <v>27</v>
      </c>
      <c r="AD4" s="106" t="s">
        <v>273</v>
      </c>
      <c r="AE4" s="213"/>
      <c r="AF4" s="106" t="s">
        <v>98</v>
      </c>
      <c r="AG4" s="379" t="s">
        <v>1369</v>
      </c>
      <c r="AH4" s="106" t="s">
        <v>27</v>
      </c>
      <c r="AI4" s="106" t="s">
        <v>273</v>
      </c>
      <c r="AJ4" s="106"/>
      <c r="AK4" s="106" t="s">
        <v>98</v>
      </c>
      <c r="AL4" s="439" t="s">
        <v>1714</v>
      </c>
      <c r="AM4" s="106" t="s">
        <v>273</v>
      </c>
      <c r="AN4" s="106"/>
      <c r="AO4" s="107" t="s">
        <v>274</v>
      </c>
      <c r="AP4" s="108" t="s">
        <v>107</v>
      </c>
      <c r="AQ4" s="109" t="s">
        <v>28</v>
      </c>
      <c r="AR4" s="110" t="s">
        <v>275</v>
      </c>
    </row>
    <row r="5" spans="1:44" x14ac:dyDescent="0.25">
      <c r="A5" s="111" t="s">
        <v>272</v>
      </c>
      <c r="C5" s="111" t="s">
        <v>276</v>
      </c>
      <c r="AO5" s="103"/>
      <c r="AP5" s="103"/>
      <c r="AR5" s="111"/>
    </row>
    <row r="6" spans="1:44" x14ac:dyDescent="0.25">
      <c r="A6" s="161" t="s">
        <v>437</v>
      </c>
      <c r="B6" s="119" t="str">
        <f>MID(A6,14,4)</f>
        <v>5115</v>
      </c>
      <c r="C6" s="161" t="s">
        <v>1226</v>
      </c>
      <c r="D6" s="245">
        <v>57251.16</v>
      </c>
      <c r="E6" s="245">
        <v>56933.36</v>
      </c>
      <c r="F6" s="216"/>
      <c r="H6" s="245">
        <v>58433</v>
      </c>
      <c r="I6" s="245">
        <v>58443.17</v>
      </c>
      <c r="J6" s="216"/>
      <c r="L6" s="245">
        <v>60197.04</v>
      </c>
      <c r="M6" s="245">
        <v>59966.41</v>
      </c>
      <c r="N6" s="216"/>
      <c r="P6" s="245">
        <v>61596</v>
      </c>
      <c r="Q6" s="245">
        <v>61596</v>
      </c>
      <c r="R6" s="216"/>
      <c r="T6" s="162">
        <v>62514.720000000001</v>
      </c>
      <c r="U6" s="162">
        <v>62500.3</v>
      </c>
      <c r="V6" s="80"/>
      <c r="X6" s="162">
        <v>65838.2</v>
      </c>
      <c r="Y6" s="162">
        <v>66707.070000000007</v>
      </c>
      <c r="Z6" s="80">
        <v>5.3163159012789243E-2</v>
      </c>
      <c r="AB6" s="162">
        <v>68507.28</v>
      </c>
      <c r="AC6" s="162">
        <v>69253.77</v>
      </c>
      <c r="AD6" s="80">
        <v>4.0539990461464649E-2</v>
      </c>
      <c r="AF6" s="163">
        <v>71597.52</v>
      </c>
      <c r="AG6" s="380">
        <v>76525.2</v>
      </c>
      <c r="AH6" s="245">
        <v>76525.2</v>
      </c>
      <c r="AI6" s="216">
        <f t="shared" ref="AI6:AI39" si="0">(AG6-AB6)/AB6</f>
        <v>0.11703748857055774</v>
      </c>
      <c r="AJ6" s="80"/>
      <c r="AK6" s="398">
        <v>80722.080000000002</v>
      </c>
      <c r="AL6" s="398">
        <v>38833.97</v>
      </c>
      <c r="AM6" s="396">
        <f>(AK6-AG6)/AG6</f>
        <v>5.4843110504774958E-2</v>
      </c>
      <c r="AN6" s="396"/>
      <c r="AO6" s="163">
        <f>'FY20 Payroll Schedule'!J36</f>
        <v>85378.32</v>
      </c>
      <c r="AP6" s="245">
        <f>AO6-AK6</f>
        <v>4656.2400000000052</v>
      </c>
      <c r="AQ6" s="396">
        <f>AP6/AK6</f>
        <v>5.7682359027418584E-2</v>
      </c>
      <c r="AR6" s="400" t="s">
        <v>1423</v>
      </c>
    </row>
    <row r="7" spans="1:44" x14ac:dyDescent="0.25">
      <c r="A7" s="119" t="s">
        <v>438</v>
      </c>
      <c r="B7" s="119" t="s">
        <v>291</v>
      </c>
      <c r="C7" s="161" t="s">
        <v>1455</v>
      </c>
      <c r="D7" s="245">
        <v>0</v>
      </c>
      <c r="E7" s="245">
        <v>0</v>
      </c>
      <c r="F7" s="216"/>
      <c r="H7" s="245">
        <v>0</v>
      </c>
      <c r="I7" s="245">
        <v>0</v>
      </c>
      <c r="J7" s="216"/>
      <c r="L7" s="245">
        <v>601.97</v>
      </c>
      <c r="M7" s="245">
        <v>601.97</v>
      </c>
      <c r="N7" s="216"/>
      <c r="P7" s="245">
        <v>615.96</v>
      </c>
      <c r="Q7" s="245">
        <v>615.97</v>
      </c>
      <c r="R7" s="216"/>
      <c r="T7" s="245">
        <v>625.15</v>
      </c>
      <c r="U7" s="245">
        <v>625.15</v>
      </c>
      <c r="V7" s="216"/>
      <c r="W7" s="213"/>
      <c r="X7" s="245">
        <v>831.13</v>
      </c>
      <c r="Y7" s="245">
        <v>831.12</v>
      </c>
      <c r="Z7" s="216">
        <v>0.329488922658562</v>
      </c>
      <c r="AA7" s="213"/>
      <c r="AB7" s="245">
        <v>853.91</v>
      </c>
      <c r="AC7" s="245">
        <v>853.84</v>
      </c>
      <c r="AD7" s="216">
        <v>2.7408467989363847E-2</v>
      </c>
      <c r="AF7" s="163">
        <f>715.98+170.53</f>
        <v>886.51</v>
      </c>
      <c r="AG7" s="380">
        <f>765.25+170.87</f>
        <v>936.12</v>
      </c>
      <c r="AH7" s="245">
        <v>1701.37</v>
      </c>
      <c r="AI7" s="216">
        <f t="shared" si="0"/>
        <v>9.6274783056762472E-2</v>
      </c>
      <c r="AJ7" s="80"/>
      <c r="AK7" s="398">
        <v>981.34956000000011</v>
      </c>
      <c r="AL7" s="398">
        <v>1788.54</v>
      </c>
      <c r="AM7" s="396">
        <f>(AK7-AG7)/AG7</f>
        <v>4.8315985130111636E-2</v>
      </c>
      <c r="AN7" s="396"/>
      <c r="AO7" s="163">
        <f>'FY20 Payroll Schedule'!K36+'FY20 Payroll Schedule'!K37</f>
        <v>1885.4953200000002</v>
      </c>
      <c r="AP7" s="398">
        <f>AO7-AK7</f>
        <v>904.14576000000011</v>
      </c>
      <c r="AQ7" s="396">
        <f>AP7/AK7</f>
        <v>0.92132895030798201</v>
      </c>
      <c r="AR7" s="400" t="s">
        <v>1773</v>
      </c>
    </row>
    <row r="8" spans="1:44" ht="14.25" x14ac:dyDescent="0.3">
      <c r="A8" s="161" t="s">
        <v>439</v>
      </c>
      <c r="B8" s="119" t="str">
        <f>MID(A8,14,4)</f>
        <v>5149</v>
      </c>
      <c r="C8" s="161" t="s">
        <v>2069</v>
      </c>
      <c r="D8" s="245">
        <v>14048</v>
      </c>
      <c r="E8" s="245">
        <v>14365.8</v>
      </c>
      <c r="F8" s="216"/>
      <c r="H8" s="245">
        <v>15348</v>
      </c>
      <c r="I8" s="245">
        <v>15082.42</v>
      </c>
      <c r="J8" s="216"/>
      <c r="L8" s="245">
        <v>16347.24</v>
      </c>
      <c r="M8" s="245">
        <v>15549.3</v>
      </c>
      <c r="N8" s="216"/>
      <c r="P8" s="245">
        <v>16738.46</v>
      </c>
      <c r="Q8" s="245">
        <v>16472.5</v>
      </c>
      <c r="R8" s="216"/>
      <c r="T8" s="245">
        <v>16989.95</v>
      </c>
      <c r="U8" s="245">
        <v>16488.96</v>
      </c>
      <c r="V8" s="216"/>
      <c r="W8" s="213"/>
      <c r="X8" s="245">
        <v>17274.45</v>
      </c>
      <c r="Y8" s="245">
        <v>16570.400000000001</v>
      </c>
      <c r="Z8" s="216">
        <v>1.6745193482029082E-2</v>
      </c>
      <c r="AA8" s="213"/>
      <c r="AB8" s="245">
        <v>16883.57</v>
      </c>
      <c r="AC8" s="245">
        <v>17416</v>
      </c>
      <c r="AD8" s="216">
        <v>-2.2627637927690954E-2</v>
      </c>
      <c r="AF8" s="163">
        <v>17053.22</v>
      </c>
      <c r="AG8" s="380">
        <v>17087.150000000001</v>
      </c>
      <c r="AH8" s="245">
        <v>17521.490000000002</v>
      </c>
      <c r="AI8" s="216">
        <f t="shared" si="0"/>
        <v>1.2057876385148505E-2</v>
      </c>
      <c r="AJ8" s="80"/>
      <c r="AK8" s="398">
        <v>17412.876</v>
      </c>
      <c r="AL8" s="398">
        <v>8904.02</v>
      </c>
      <c r="AM8" s="396">
        <f>(AK8-AG8)/AG8</f>
        <v>1.906262893460868E-2</v>
      </c>
      <c r="AN8" s="396"/>
      <c r="AO8" s="408">
        <f>'FY20 Payroll Schedule'!J37</f>
        <v>17792.892000000003</v>
      </c>
      <c r="AP8" s="398">
        <f>AO8-AK8</f>
        <v>380.01600000000326</v>
      </c>
      <c r="AQ8" s="396">
        <f t="shared" ref="AQ8:AQ43" si="1">AP8/AK8</f>
        <v>2.182385035074064E-2</v>
      </c>
      <c r="AR8" s="167" t="s">
        <v>1075</v>
      </c>
    </row>
    <row r="9" spans="1:44" s="114" customFormat="1" x14ac:dyDescent="0.25">
      <c r="A9" s="224"/>
      <c r="B9" s="224"/>
      <c r="C9" s="224" t="s">
        <v>26</v>
      </c>
      <c r="D9" s="225">
        <v>71299.16</v>
      </c>
      <c r="E9" s="225">
        <v>71299.16</v>
      </c>
      <c r="F9" s="226">
        <v>4.5600000000000002E-2</v>
      </c>
      <c r="G9" s="224"/>
      <c r="H9" s="225">
        <v>73781</v>
      </c>
      <c r="I9" s="225">
        <v>73525.59</v>
      </c>
      <c r="J9" s="226">
        <v>4.5600000000000002E-2</v>
      </c>
      <c r="K9" s="224"/>
      <c r="L9" s="225">
        <v>77146.25</v>
      </c>
      <c r="M9" s="225">
        <v>76117.680000000008</v>
      </c>
      <c r="N9" s="226">
        <v>4.5600000000000002E-2</v>
      </c>
      <c r="O9" s="224"/>
      <c r="P9" s="225">
        <v>78950.42</v>
      </c>
      <c r="Q9" s="225">
        <v>78684.47</v>
      </c>
      <c r="R9" s="226">
        <v>4.5600000000000002E-2</v>
      </c>
      <c r="S9" s="224"/>
      <c r="T9" s="225">
        <v>80129.820000000007</v>
      </c>
      <c r="U9" s="225">
        <v>79614.41</v>
      </c>
      <c r="V9" s="226">
        <v>4.5600000000000002E-2</v>
      </c>
      <c r="W9" s="224"/>
      <c r="X9" s="225">
        <v>83943.78</v>
      </c>
      <c r="Y9" s="225">
        <v>84108.59</v>
      </c>
      <c r="Z9" s="226">
        <v>4.7597261543829643E-2</v>
      </c>
      <c r="AA9" s="224"/>
      <c r="AB9" s="225">
        <v>86244.760000000009</v>
      </c>
      <c r="AC9" s="225">
        <v>87523.61</v>
      </c>
      <c r="AD9" s="226">
        <v>2.7410964814784496E-2</v>
      </c>
      <c r="AE9" s="224"/>
      <c r="AF9" s="227">
        <f>SUM(AF6:AF8)</f>
        <v>89537.25</v>
      </c>
      <c r="AG9" s="381">
        <f>SUM(AG6:AG8)</f>
        <v>94548.47</v>
      </c>
      <c r="AH9" s="225">
        <f>SUM(AH6:AH8)</f>
        <v>95748.06</v>
      </c>
      <c r="AI9" s="226">
        <f t="shared" si="0"/>
        <v>9.6280747955006088E-2</v>
      </c>
      <c r="AJ9" s="226"/>
      <c r="AK9" s="225">
        <f>SUM(AK6:AK8)</f>
        <v>99116.305560000008</v>
      </c>
      <c r="AL9" s="225">
        <f>SUM(AL6:AL8)</f>
        <v>49526.53</v>
      </c>
      <c r="AM9" s="226">
        <f>(AK9-AG9)/AG9</f>
        <v>4.8312104468745044E-2</v>
      </c>
      <c r="AN9" s="226"/>
      <c r="AO9" s="227">
        <f>SUM(AO6:AO8)</f>
        <v>105056.70732000002</v>
      </c>
      <c r="AP9" s="225">
        <f>SUM(AP6:AP8)</f>
        <v>5940.4017600000088</v>
      </c>
      <c r="AQ9" s="226">
        <f t="shared" si="1"/>
        <v>5.9933647914307997E-2</v>
      </c>
      <c r="AR9" s="224"/>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112"/>
      <c r="AG10" s="112"/>
      <c r="AH10" s="112"/>
      <c r="AI10" s="216"/>
      <c r="AJ10" s="80"/>
      <c r="AK10" s="112"/>
      <c r="AL10" s="112"/>
      <c r="AM10" s="396"/>
      <c r="AN10" s="396"/>
      <c r="AP10" s="112"/>
      <c r="AQ10" s="396"/>
      <c r="AR10" s="111"/>
    </row>
    <row r="11" spans="1:44" x14ac:dyDescent="0.25">
      <c r="A11" s="161" t="s">
        <v>440</v>
      </c>
      <c r="B11" s="119" t="str">
        <f t="shared" ref="B11:B40" si="2">MID(A11,14,4)</f>
        <v>5210</v>
      </c>
      <c r="C11" s="161" t="s">
        <v>1626</v>
      </c>
      <c r="D11" s="245">
        <v>7500</v>
      </c>
      <c r="E11" s="245">
        <v>7483.43</v>
      </c>
      <c r="F11" s="216"/>
      <c r="H11" s="245">
        <v>8500</v>
      </c>
      <c r="I11" s="245">
        <v>6721.78</v>
      </c>
      <c r="J11" s="216"/>
      <c r="L11" s="245">
        <v>8800</v>
      </c>
      <c r="M11" s="245">
        <v>6361.81</v>
      </c>
      <c r="N11" s="216"/>
      <c r="P11" s="245">
        <v>6900</v>
      </c>
      <c r="Q11" s="245">
        <v>7042.73</v>
      </c>
      <c r="R11" s="216"/>
      <c r="T11" s="245">
        <v>7000</v>
      </c>
      <c r="U11" s="245">
        <v>5826.65</v>
      </c>
      <c r="V11" s="216"/>
      <c r="W11" s="213"/>
      <c r="X11" s="245">
        <v>7000</v>
      </c>
      <c r="Y11" s="245">
        <v>0</v>
      </c>
      <c r="Z11" s="216">
        <v>0</v>
      </c>
      <c r="AA11" s="213"/>
      <c r="AB11" s="245">
        <v>7000</v>
      </c>
      <c r="AC11" s="245">
        <v>3642.55</v>
      </c>
      <c r="AD11" s="216">
        <v>0</v>
      </c>
      <c r="AF11" s="245">
        <v>7000</v>
      </c>
      <c r="AG11" s="245">
        <v>7000</v>
      </c>
      <c r="AH11" s="245">
        <v>1657.08</v>
      </c>
      <c r="AI11" s="216">
        <f t="shared" si="0"/>
        <v>0</v>
      </c>
      <c r="AJ11" s="80"/>
      <c r="AK11" s="398">
        <v>7000</v>
      </c>
      <c r="AL11" s="398">
        <v>443.86</v>
      </c>
      <c r="AM11" s="396">
        <f t="shared" ref="AM11:AM43" si="3">(AK11-AG11)/AG11</f>
        <v>0</v>
      </c>
      <c r="AN11" s="396"/>
      <c r="AO11" s="143">
        <v>7000</v>
      </c>
      <c r="AP11" s="398">
        <f t="shared" ref="AP11:AP40" si="4">AO11-AK11</f>
        <v>0</v>
      </c>
      <c r="AQ11" s="396">
        <f t="shared" si="1"/>
        <v>0</v>
      </c>
      <c r="AR11" s="166"/>
    </row>
    <row r="12" spans="1:44" x14ac:dyDescent="0.25">
      <c r="A12" s="161" t="s">
        <v>441</v>
      </c>
      <c r="B12" s="119" t="str">
        <f t="shared" si="2"/>
        <v>5211</v>
      </c>
      <c r="C12" s="161" t="s">
        <v>1628</v>
      </c>
      <c r="D12" s="245">
        <v>3000</v>
      </c>
      <c r="E12" s="245">
        <v>3505.68</v>
      </c>
      <c r="F12" s="216"/>
      <c r="H12" s="245">
        <v>3300</v>
      </c>
      <c r="I12" s="245">
        <v>2307.77</v>
      </c>
      <c r="J12" s="216"/>
      <c r="L12" s="245">
        <v>3300</v>
      </c>
      <c r="M12" s="245">
        <v>2606.4499999999998</v>
      </c>
      <c r="N12" s="216"/>
      <c r="P12" s="245">
        <v>3000</v>
      </c>
      <c r="Q12" s="245">
        <v>3208.47</v>
      </c>
      <c r="R12" s="216"/>
      <c r="T12" s="245">
        <v>3300</v>
      </c>
      <c r="U12" s="245">
        <v>2807.94</v>
      </c>
      <c r="V12" s="216"/>
      <c r="W12" s="213"/>
      <c r="X12" s="245">
        <v>3300</v>
      </c>
      <c r="Y12" s="245">
        <v>1681.83</v>
      </c>
      <c r="Z12" s="216">
        <v>0</v>
      </c>
      <c r="AA12" s="213"/>
      <c r="AB12" s="245">
        <v>3300</v>
      </c>
      <c r="AC12" s="245">
        <v>2429.4499999999998</v>
      </c>
      <c r="AD12" s="216">
        <v>0</v>
      </c>
      <c r="AF12" s="245">
        <v>3300</v>
      </c>
      <c r="AG12" s="245">
        <v>3300</v>
      </c>
      <c r="AH12" s="245">
        <v>3708.34</v>
      </c>
      <c r="AI12" s="216">
        <f t="shared" si="0"/>
        <v>0</v>
      </c>
      <c r="AJ12" s="80"/>
      <c r="AK12" s="398">
        <v>3500</v>
      </c>
      <c r="AL12" s="398">
        <v>536.97</v>
      </c>
      <c r="AM12" s="396">
        <f t="shared" si="3"/>
        <v>6.0606060606060608E-2</v>
      </c>
      <c r="AN12" s="396"/>
      <c r="AO12" s="163">
        <v>3500</v>
      </c>
      <c r="AP12" s="398">
        <f t="shared" si="4"/>
        <v>0</v>
      </c>
      <c r="AQ12" s="396">
        <f t="shared" si="1"/>
        <v>0</v>
      </c>
      <c r="AR12" s="400"/>
    </row>
    <row r="13" spans="1:44" x14ac:dyDescent="0.25">
      <c r="A13" s="161" t="s">
        <v>442</v>
      </c>
      <c r="B13" s="119" t="str">
        <f t="shared" si="2"/>
        <v>5241</v>
      </c>
      <c r="C13" s="161" t="s">
        <v>1630</v>
      </c>
      <c r="D13" s="245">
        <v>4500</v>
      </c>
      <c r="E13" s="245">
        <v>6293.77</v>
      </c>
      <c r="F13" s="216"/>
      <c r="H13" s="245">
        <v>7000</v>
      </c>
      <c r="I13" s="245">
        <v>15953.39</v>
      </c>
      <c r="J13" s="216"/>
      <c r="L13" s="245">
        <v>7200</v>
      </c>
      <c r="M13" s="245">
        <v>12313.91</v>
      </c>
      <c r="N13" s="216"/>
      <c r="P13" s="245">
        <v>9000</v>
      </c>
      <c r="Q13" s="245">
        <v>8516.51</v>
      </c>
      <c r="R13" s="216"/>
      <c r="T13" s="245">
        <v>9000</v>
      </c>
      <c r="U13" s="245">
        <v>9852.18</v>
      </c>
      <c r="V13" s="216"/>
      <c r="W13" s="213"/>
      <c r="X13" s="245">
        <v>9000</v>
      </c>
      <c r="Y13" s="245">
        <v>13494.88</v>
      </c>
      <c r="Z13" s="216">
        <v>0</v>
      </c>
      <c r="AA13" s="213"/>
      <c r="AB13" s="245">
        <v>9000</v>
      </c>
      <c r="AC13" s="245">
        <v>11264.76</v>
      </c>
      <c r="AD13" s="216">
        <v>0</v>
      </c>
      <c r="AF13" s="245">
        <v>9000</v>
      </c>
      <c r="AG13" s="245">
        <v>9000</v>
      </c>
      <c r="AH13" s="245">
        <v>10247.77</v>
      </c>
      <c r="AI13" s="216">
        <f t="shared" si="0"/>
        <v>0</v>
      </c>
      <c r="AJ13" s="80"/>
      <c r="AK13" s="398">
        <v>9000</v>
      </c>
      <c r="AL13" s="398">
        <v>4176.25</v>
      </c>
      <c r="AM13" s="396">
        <f t="shared" si="3"/>
        <v>0</v>
      </c>
      <c r="AN13" s="396"/>
      <c r="AO13" s="163">
        <v>10000</v>
      </c>
      <c r="AP13" s="398">
        <f t="shared" si="4"/>
        <v>1000</v>
      </c>
      <c r="AQ13" s="396">
        <f t="shared" si="1"/>
        <v>0.1111111111111111</v>
      </c>
      <c r="AR13" s="196" t="s">
        <v>923</v>
      </c>
    </row>
    <row r="14" spans="1:44" x14ac:dyDescent="0.25">
      <c r="A14" s="161" t="s">
        <v>443</v>
      </c>
      <c r="B14" s="119" t="str">
        <f t="shared" si="2"/>
        <v>5245</v>
      </c>
      <c r="C14" s="161" t="s">
        <v>1633</v>
      </c>
      <c r="D14" s="245">
        <v>709.84</v>
      </c>
      <c r="E14" s="245">
        <v>704.96</v>
      </c>
      <c r="F14" s="216"/>
      <c r="H14" s="245">
        <v>1000</v>
      </c>
      <c r="I14" s="245">
        <v>1064.1600000000001</v>
      </c>
      <c r="J14" s="216"/>
      <c r="L14" s="245">
        <v>900</v>
      </c>
      <c r="M14" s="245">
        <v>973.5</v>
      </c>
      <c r="N14" s="216"/>
      <c r="P14" s="245">
        <v>800</v>
      </c>
      <c r="Q14" s="245">
        <v>1120</v>
      </c>
      <c r="R14" s="216"/>
      <c r="T14" s="245">
        <v>900</v>
      </c>
      <c r="U14" s="245">
        <v>975.98</v>
      </c>
      <c r="V14" s="216"/>
      <c r="W14" s="213"/>
      <c r="X14" s="245">
        <v>900</v>
      </c>
      <c r="Y14" s="245">
        <v>1371.66</v>
      </c>
      <c r="Z14" s="216">
        <v>0</v>
      </c>
      <c r="AA14" s="213"/>
      <c r="AB14" s="245">
        <v>900</v>
      </c>
      <c r="AC14" s="245">
        <v>940</v>
      </c>
      <c r="AD14" s="216">
        <v>0</v>
      </c>
      <c r="AF14" s="245">
        <v>900</v>
      </c>
      <c r="AG14" s="245">
        <v>900</v>
      </c>
      <c r="AH14" s="245">
        <v>1307.0899999999999</v>
      </c>
      <c r="AI14" s="216">
        <f t="shared" si="0"/>
        <v>0</v>
      </c>
      <c r="AJ14" s="80"/>
      <c r="AK14" s="398">
        <v>900</v>
      </c>
      <c r="AL14" s="398">
        <v>0</v>
      </c>
      <c r="AM14" s="396">
        <f t="shared" si="3"/>
        <v>0</v>
      </c>
      <c r="AN14" s="396"/>
      <c r="AO14" s="143">
        <v>900</v>
      </c>
      <c r="AP14" s="398">
        <f t="shared" si="4"/>
        <v>0</v>
      </c>
      <c r="AQ14" s="396">
        <f t="shared" si="1"/>
        <v>0</v>
      </c>
      <c r="AR14" s="166"/>
    </row>
    <row r="15" spans="1:44" s="211" customFormat="1" x14ac:dyDescent="0.25">
      <c r="A15" s="211" t="s">
        <v>444</v>
      </c>
      <c r="B15" s="214" t="str">
        <f t="shared" si="2"/>
        <v>5247</v>
      </c>
      <c r="C15" s="211" t="s">
        <v>1635</v>
      </c>
      <c r="D15" s="245">
        <v>10000</v>
      </c>
      <c r="E15" s="245">
        <v>10963.14</v>
      </c>
      <c r="F15" s="216"/>
      <c r="G15" s="213"/>
      <c r="H15" s="245">
        <v>11000</v>
      </c>
      <c r="I15" s="245">
        <v>12051.6</v>
      </c>
      <c r="J15" s="216"/>
      <c r="K15" s="213"/>
      <c r="L15" s="245">
        <v>12000</v>
      </c>
      <c r="M15" s="245">
        <v>15395</v>
      </c>
      <c r="N15" s="216"/>
      <c r="O15" s="213"/>
      <c r="P15" s="245">
        <v>15000</v>
      </c>
      <c r="Q15" s="245">
        <v>22083.85</v>
      </c>
      <c r="R15" s="216"/>
      <c r="S15" s="213"/>
      <c r="T15" s="245">
        <v>15000</v>
      </c>
      <c r="U15" s="245">
        <v>14206</v>
      </c>
      <c r="V15" s="216"/>
      <c r="W15" s="213"/>
      <c r="X15" s="245">
        <v>16000</v>
      </c>
      <c r="Y15" s="245">
        <v>10807.68</v>
      </c>
      <c r="Z15" s="216">
        <v>6.6666666666666666E-2</v>
      </c>
      <c r="AA15" s="213"/>
      <c r="AB15" s="245">
        <v>16000</v>
      </c>
      <c r="AC15" s="245">
        <v>10329.299999999999</v>
      </c>
      <c r="AD15" s="216">
        <v>0</v>
      </c>
      <c r="AE15" s="213"/>
      <c r="AF15" s="245">
        <v>16000</v>
      </c>
      <c r="AG15" s="245">
        <v>16000</v>
      </c>
      <c r="AH15" s="245">
        <v>9557.49</v>
      </c>
      <c r="AI15" s="216">
        <f t="shared" si="0"/>
        <v>0</v>
      </c>
      <c r="AJ15" s="216"/>
      <c r="AK15" s="398">
        <v>16000</v>
      </c>
      <c r="AL15" s="398">
        <v>312.5</v>
      </c>
      <c r="AM15" s="396">
        <f t="shared" si="3"/>
        <v>0</v>
      </c>
      <c r="AN15" s="396"/>
      <c r="AO15" s="164">
        <v>16000</v>
      </c>
      <c r="AP15" s="398">
        <f t="shared" si="4"/>
        <v>0</v>
      </c>
      <c r="AQ15" s="396">
        <f t="shared" si="1"/>
        <v>0</v>
      </c>
      <c r="AR15" s="246"/>
    </row>
    <row r="16" spans="1:44" s="211" customFormat="1" x14ac:dyDescent="0.25">
      <c r="A16" s="211" t="s">
        <v>445</v>
      </c>
      <c r="B16" s="214" t="str">
        <f t="shared" si="2"/>
        <v>5248</v>
      </c>
      <c r="C16" s="211" t="s">
        <v>1613</v>
      </c>
      <c r="D16" s="245">
        <v>4000</v>
      </c>
      <c r="E16" s="245">
        <v>2780.8</v>
      </c>
      <c r="F16" s="216"/>
      <c r="G16" s="213"/>
      <c r="H16" s="245">
        <v>5000</v>
      </c>
      <c r="I16" s="245">
        <v>4747.74</v>
      </c>
      <c r="J16" s="216"/>
      <c r="K16" s="213"/>
      <c r="L16" s="245">
        <v>5500</v>
      </c>
      <c r="M16" s="245">
        <v>4743.3900000000003</v>
      </c>
      <c r="N16" s="216"/>
      <c r="O16" s="213"/>
      <c r="P16" s="245">
        <v>6000</v>
      </c>
      <c r="Q16" s="245">
        <v>8198.9699999999993</v>
      </c>
      <c r="R16" s="216"/>
      <c r="S16" s="213"/>
      <c r="T16" s="245">
        <v>6000</v>
      </c>
      <c r="U16" s="245">
        <v>8174.58</v>
      </c>
      <c r="V16" s="216"/>
      <c r="W16" s="213"/>
      <c r="X16" s="245">
        <v>6000</v>
      </c>
      <c r="Y16" s="245">
        <v>3352.4</v>
      </c>
      <c r="Z16" s="216">
        <v>0</v>
      </c>
      <c r="AA16" s="213"/>
      <c r="AB16" s="245">
        <v>7000</v>
      </c>
      <c r="AC16" s="245">
        <v>3832.32</v>
      </c>
      <c r="AD16" s="216">
        <v>0.16666666666666666</v>
      </c>
      <c r="AE16" s="213"/>
      <c r="AF16" s="245">
        <v>7300</v>
      </c>
      <c r="AG16" s="245">
        <v>7300</v>
      </c>
      <c r="AH16" s="245">
        <v>3996.46</v>
      </c>
      <c r="AI16" s="216">
        <f t="shared" si="0"/>
        <v>4.2857142857142858E-2</v>
      </c>
      <c r="AJ16" s="216"/>
      <c r="AK16" s="398">
        <v>7300</v>
      </c>
      <c r="AL16" s="398">
        <v>8983.75</v>
      </c>
      <c r="AM16" s="396">
        <f t="shared" si="3"/>
        <v>0</v>
      </c>
      <c r="AN16" s="396"/>
      <c r="AO16" s="291">
        <v>11000</v>
      </c>
      <c r="AP16" s="398">
        <f t="shared" si="4"/>
        <v>3700</v>
      </c>
      <c r="AQ16" s="396">
        <f t="shared" si="1"/>
        <v>0.50684931506849318</v>
      </c>
      <c r="AR16" s="524" t="s">
        <v>2082</v>
      </c>
    </row>
    <row r="17" spans="1:44" s="211" customFormat="1" x14ac:dyDescent="0.25">
      <c r="A17" s="211" t="s">
        <v>952</v>
      </c>
      <c r="B17" s="214" t="str">
        <f>MID(A17,14,4)</f>
        <v>5249</v>
      </c>
      <c r="C17" s="211" t="s">
        <v>2070</v>
      </c>
      <c r="D17" s="245">
        <v>0</v>
      </c>
      <c r="E17" s="245">
        <v>0</v>
      </c>
      <c r="F17" s="216"/>
      <c r="G17" s="213"/>
      <c r="H17" s="245">
        <v>0</v>
      </c>
      <c r="I17" s="245">
        <v>500</v>
      </c>
      <c r="J17" s="216"/>
      <c r="K17" s="213"/>
      <c r="L17" s="245">
        <v>0</v>
      </c>
      <c r="M17" s="245">
        <v>1478.65</v>
      </c>
      <c r="N17" s="216"/>
      <c r="O17" s="213"/>
      <c r="P17" s="245">
        <v>0</v>
      </c>
      <c r="Q17" s="245">
        <v>0</v>
      </c>
      <c r="R17" s="216"/>
      <c r="S17" s="213"/>
      <c r="T17" s="245">
        <v>0</v>
      </c>
      <c r="U17" s="245">
        <v>0</v>
      </c>
      <c r="V17" s="216"/>
      <c r="W17" s="213"/>
      <c r="X17" s="245">
        <v>0</v>
      </c>
      <c r="Y17" s="245">
        <v>195</v>
      </c>
      <c r="Z17" s="216" t="e">
        <v>#DIV/0!</v>
      </c>
      <c r="AA17" s="213"/>
      <c r="AB17" s="245">
        <v>0</v>
      </c>
      <c r="AC17" s="245">
        <v>0</v>
      </c>
      <c r="AD17" s="216"/>
      <c r="AE17" s="213"/>
      <c r="AF17" s="245"/>
      <c r="AG17" s="245"/>
      <c r="AH17" s="245"/>
      <c r="AI17" s="216"/>
      <c r="AJ17" s="216"/>
      <c r="AK17" s="398">
        <v>500</v>
      </c>
      <c r="AL17" s="398">
        <v>0</v>
      </c>
      <c r="AM17" s="396"/>
      <c r="AN17" s="396"/>
      <c r="AO17" s="291">
        <v>500</v>
      </c>
      <c r="AP17" s="398">
        <f t="shared" si="4"/>
        <v>0</v>
      </c>
      <c r="AQ17" s="396">
        <f t="shared" si="1"/>
        <v>0</v>
      </c>
      <c r="AR17" s="288"/>
    </row>
    <row r="18" spans="1:44" s="211" customFormat="1" x14ac:dyDescent="0.25">
      <c r="A18" s="211" t="s">
        <v>446</v>
      </c>
      <c r="B18" s="214" t="str">
        <f t="shared" si="2"/>
        <v>5250</v>
      </c>
      <c r="C18" s="211" t="s">
        <v>2071</v>
      </c>
      <c r="D18" s="245">
        <v>2500</v>
      </c>
      <c r="E18" s="245">
        <v>2702</v>
      </c>
      <c r="F18" s="216"/>
      <c r="G18" s="213"/>
      <c r="H18" s="245">
        <v>2500</v>
      </c>
      <c r="I18" s="245">
        <v>1602</v>
      </c>
      <c r="J18" s="216"/>
      <c r="K18" s="213"/>
      <c r="L18" s="245">
        <v>2800</v>
      </c>
      <c r="M18" s="245">
        <v>1682</v>
      </c>
      <c r="N18" s="216"/>
      <c r="O18" s="213"/>
      <c r="P18" s="245">
        <v>2500</v>
      </c>
      <c r="Q18" s="245">
        <v>1301.54</v>
      </c>
      <c r="R18" s="216"/>
      <c r="S18" s="213"/>
      <c r="T18" s="245">
        <v>2000</v>
      </c>
      <c r="U18" s="245">
        <v>2961</v>
      </c>
      <c r="V18" s="216"/>
      <c r="W18" s="213"/>
      <c r="X18" s="245">
        <v>2500</v>
      </c>
      <c r="Y18" s="245">
        <v>2961</v>
      </c>
      <c r="Z18" s="216">
        <v>0.25</v>
      </c>
      <c r="AA18" s="213"/>
      <c r="AB18" s="245">
        <v>2600</v>
      </c>
      <c r="AC18" s="245">
        <v>3205.14</v>
      </c>
      <c r="AD18" s="216">
        <v>0.04</v>
      </c>
      <c r="AE18" s="213"/>
      <c r="AF18" s="245">
        <v>2600</v>
      </c>
      <c r="AG18" s="245">
        <v>2600</v>
      </c>
      <c r="AH18" s="245">
        <v>3326.4</v>
      </c>
      <c r="AI18" s="216">
        <f t="shared" si="0"/>
        <v>0</v>
      </c>
      <c r="AJ18" s="216"/>
      <c r="AK18" s="398">
        <v>3500</v>
      </c>
      <c r="AL18" s="398">
        <v>3326.4</v>
      </c>
      <c r="AM18" s="396">
        <f t="shared" si="3"/>
        <v>0.34615384615384615</v>
      </c>
      <c r="AN18" s="396"/>
      <c r="AO18" s="291">
        <v>3500</v>
      </c>
      <c r="AP18" s="398">
        <f t="shared" si="4"/>
        <v>0</v>
      </c>
      <c r="AQ18" s="396">
        <f t="shared" si="1"/>
        <v>0</v>
      </c>
      <c r="AR18" s="400"/>
    </row>
    <row r="19" spans="1:44" s="211" customFormat="1" x14ac:dyDescent="0.25">
      <c r="A19" s="211" t="s">
        <v>447</v>
      </c>
      <c r="B19" s="214" t="str">
        <f t="shared" si="2"/>
        <v>5262</v>
      </c>
      <c r="C19" s="211" t="s">
        <v>2072</v>
      </c>
      <c r="D19" s="245">
        <v>3500</v>
      </c>
      <c r="E19" s="245">
        <v>3500</v>
      </c>
      <c r="F19" s="216"/>
      <c r="G19" s="213"/>
      <c r="H19" s="245">
        <v>3500</v>
      </c>
      <c r="I19" s="245">
        <v>3400</v>
      </c>
      <c r="J19" s="216"/>
      <c r="K19" s="213"/>
      <c r="L19" s="245">
        <v>3500</v>
      </c>
      <c r="M19" s="245">
        <v>3500</v>
      </c>
      <c r="N19" s="216"/>
      <c r="O19" s="213"/>
      <c r="P19" s="245">
        <v>3500</v>
      </c>
      <c r="Q19" s="245">
        <v>3400</v>
      </c>
      <c r="R19" s="216"/>
      <c r="S19" s="213"/>
      <c r="T19" s="245">
        <v>3500</v>
      </c>
      <c r="U19" s="245">
        <v>600</v>
      </c>
      <c r="V19" s="216"/>
      <c r="W19" s="213"/>
      <c r="X19" s="245">
        <v>3500</v>
      </c>
      <c r="Y19" s="245">
        <v>3500</v>
      </c>
      <c r="Z19" s="216">
        <v>0</v>
      </c>
      <c r="AA19" s="213"/>
      <c r="AB19" s="245">
        <v>3500</v>
      </c>
      <c r="AC19" s="245">
        <v>3875</v>
      </c>
      <c r="AD19" s="216">
        <v>0</v>
      </c>
      <c r="AE19" s="213"/>
      <c r="AF19" s="245">
        <v>3375</v>
      </c>
      <c r="AG19" s="245">
        <v>3375</v>
      </c>
      <c r="AH19" s="245">
        <v>6375</v>
      </c>
      <c r="AI19" s="216">
        <f t="shared" si="0"/>
        <v>-3.5714285714285712E-2</v>
      </c>
      <c r="AJ19" s="216"/>
      <c r="AK19" s="398">
        <v>6000</v>
      </c>
      <c r="AL19" s="398">
        <v>5775</v>
      </c>
      <c r="AM19" s="396">
        <f t="shared" si="3"/>
        <v>0.77777777777777779</v>
      </c>
      <c r="AN19" s="396"/>
      <c r="AO19" s="291">
        <v>6000</v>
      </c>
      <c r="AP19" s="398">
        <f t="shared" si="4"/>
        <v>0</v>
      </c>
      <c r="AQ19" s="396">
        <f t="shared" si="1"/>
        <v>0</v>
      </c>
      <c r="AR19" s="400" t="s">
        <v>1433</v>
      </c>
    </row>
    <row r="20" spans="1:44" s="211" customFormat="1" x14ac:dyDescent="0.25">
      <c r="A20" s="211" t="s">
        <v>448</v>
      </c>
      <c r="B20" s="214" t="str">
        <f t="shared" si="2"/>
        <v>5293</v>
      </c>
      <c r="C20" s="211" t="s">
        <v>1497</v>
      </c>
      <c r="D20" s="245">
        <v>200</v>
      </c>
      <c r="E20" s="245">
        <v>204.55</v>
      </c>
      <c r="F20" s="216"/>
      <c r="G20" s="213"/>
      <c r="H20" s="245">
        <v>200</v>
      </c>
      <c r="I20" s="245">
        <v>192.15</v>
      </c>
      <c r="J20" s="216"/>
      <c r="K20" s="213"/>
      <c r="L20" s="245">
        <v>200</v>
      </c>
      <c r="M20" s="245">
        <v>240.2</v>
      </c>
      <c r="N20" s="216"/>
      <c r="O20" s="213"/>
      <c r="P20" s="245">
        <v>200</v>
      </c>
      <c r="Q20" s="245">
        <v>387.1</v>
      </c>
      <c r="R20" s="216"/>
      <c r="S20" s="213"/>
      <c r="T20" s="245">
        <v>200</v>
      </c>
      <c r="U20" s="245">
        <v>414.52</v>
      </c>
      <c r="V20" s="216"/>
      <c r="W20" s="213"/>
      <c r="X20" s="245">
        <v>200</v>
      </c>
      <c r="Y20" s="245">
        <v>676.15</v>
      </c>
      <c r="Z20" s="216">
        <v>0</v>
      </c>
      <c r="AA20" s="213"/>
      <c r="AB20" s="245">
        <v>400</v>
      </c>
      <c r="AC20" s="245">
        <v>283.5</v>
      </c>
      <c r="AD20" s="216">
        <v>1</v>
      </c>
      <c r="AE20" s="213"/>
      <c r="AF20" s="245">
        <v>500</v>
      </c>
      <c r="AG20" s="245">
        <v>500</v>
      </c>
      <c r="AH20" s="245">
        <v>295.45</v>
      </c>
      <c r="AI20" s="216">
        <f t="shared" si="0"/>
        <v>0.25</v>
      </c>
      <c r="AJ20" s="216"/>
      <c r="AK20" s="398">
        <v>500</v>
      </c>
      <c r="AL20" s="398">
        <v>278.38</v>
      </c>
      <c r="AM20" s="396">
        <f t="shared" si="3"/>
        <v>0</v>
      </c>
      <c r="AN20" s="396"/>
      <c r="AO20" s="291">
        <v>500</v>
      </c>
      <c r="AP20" s="398">
        <f t="shared" si="4"/>
        <v>0</v>
      </c>
      <c r="AQ20" s="396">
        <f t="shared" si="1"/>
        <v>0</v>
      </c>
      <c r="AR20" s="288"/>
    </row>
    <row r="21" spans="1:44" s="211" customFormat="1" x14ac:dyDescent="0.25">
      <c r="A21" s="211" t="s">
        <v>449</v>
      </c>
      <c r="B21" s="214" t="str">
        <f t="shared" si="2"/>
        <v>5295</v>
      </c>
      <c r="C21" s="211" t="s">
        <v>1672</v>
      </c>
      <c r="D21" s="245">
        <v>600</v>
      </c>
      <c r="E21" s="245">
        <v>450.18</v>
      </c>
      <c r="F21" s="216"/>
      <c r="G21" s="213"/>
      <c r="H21" s="245">
        <v>600</v>
      </c>
      <c r="I21" s="245">
        <v>0</v>
      </c>
      <c r="J21" s="216"/>
      <c r="K21" s="213"/>
      <c r="L21" s="245">
        <v>400</v>
      </c>
      <c r="M21" s="245">
        <v>0</v>
      </c>
      <c r="N21" s="216"/>
      <c r="O21" s="213"/>
      <c r="P21" s="245">
        <v>500</v>
      </c>
      <c r="Q21" s="245">
        <v>0</v>
      </c>
      <c r="R21" s="216"/>
      <c r="S21" s="213"/>
      <c r="T21" s="245">
        <v>600</v>
      </c>
      <c r="U21" s="245">
        <v>673.8</v>
      </c>
      <c r="V21" s="216"/>
      <c r="W21" s="213"/>
      <c r="X21" s="245">
        <v>600</v>
      </c>
      <c r="Y21" s="245">
        <v>0</v>
      </c>
      <c r="Z21" s="216">
        <v>0</v>
      </c>
      <c r="AA21" s="213"/>
      <c r="AB21" s="245">
        <v>600</v>
      </c>
      <c r="AC21" s="245">
        <v>0</v>
      </c>
      <c r="AD21" s="216">
        <v>0</v>
      </c>
      <c r="AE21" s="213"/>
      <c r="AF21" s="245">
        <v>600</v>
      </c>
      <c r="AG21" s="245">
        <v>600</v>
      </c>
      <c r="AH21" s="245">
        <v>0</v>
      </c>
      <c r="AI21" s="216">
        <f t="shared" si="0"/>
        <v>0</v>
      </c>
      <c r="AJ21" s="216"/>
      <c r="AK21" s="398">
        <v>900</v>
      </c>
      <c r="AL21" s="398">
        <v>900</v>
      </c>
      <c r="AM21" s="396">
        <f t="shared" si="3"/>
        <v>0.5</v>
      </c>
      <c r="AN21" s="396"/>
      <c r="AO21" s="291">
        <v>900</v>
      </c>
      <c r="AP21" s="398">
        <f t="shared" si="4"/>
        <v>0</v>
      </c>
      <c r="AQ21" s="396">
        <f t="shared" si="1"/>
        <v>0</v>
      </c>
      <c r="AR21" s="400" t="s">
        <v>1424</v>
      </c>
    </row>
    <row r="22" spans="1:44" s="394" customFormat="1" x14ac:dyDescent="0.25">
      <c r="A22" s="395" t="s">
        <v>1482</v>
      </c>
      <c r="B22" s="395" t="str">
        <f>MID(A22,14,4)</f>
        <v>5303</v>
      </c>
      <c r="C22" s="394" t="s">
        <v>1483</v>
      </c>
      <c r="D22" s="398"/>
      <c r="E22" s="398"/>
      <c r="F22" s="396"/>
      <c r="G22" s="397"/>
      <c r="H22" s="398"/>
      <c r="I22" s="398"/>
      <c r="J22" s="396"/>
      <c r="K22" s="397"/>
      <c r="L22" s="398"/>
      <c r="M22" s="398"/>
      <c r="N22" s="396"/>
      <c r="O22" s="397"/>
      <c r="P22" s="398"/>
      <c r="Q22" s="398"/>
      <c r="R22" s="396"/>
      <c r="S22" s="397"/>
      <c r="T22" s="398"/>
      <c r="U22" s="398"/>
      <c r="V22" s="396"/>
      <c r="W22" s="397"/>
      <c r="X22" s="398"/>
      <c r="Y22" s="398"/>
      <c r="Z22" s="396"/>
      <c r="AA22" s="397"/>
      <c r="AB22" s="398"/>
      <c r="AC22" s="398"/>
      <c r="AD22" s="396"/>
      <c r="AE22" s="397"/>
      <c r="AF22" s="398"/>
      <c r="AG22" s="398"/>
      <c r="AH22" s="398">
        <v>1010</v>
      </c>
      <c r="AI22" s="396"/>
      <c r="AJ22" s="396"/>
      <c r="AK22" s="398"/>
      <c r="AL22" s="398"/>
      <c r="AM22" s="396"/>
      <c r="AN22" s="396"/>
      <c r="AO22" s="291">
        <v>600</v>
      </c>
      <c r="AP22" s="398">
        <f t="shared" si="4"/>
        <v>600</v>
      </c>
      <c r="AQ22" s="396"/>
      <c r="AR22" s="524" t="s">
        <v>2083</v>
      </c>
    </row>
    <row r="23" spans="1:44" s="211" customFormat="1" x14ac:dyDescent="0.25">
      <c r="A23" s="211" t="s">
        <v>450</v>
      </c>
      <c r="B23" s="214" t="str">
        <f t="shared" si="2"/>
        <v>5306</v>
      </c>
      <c r="C23" s="211" t="s">
        <v>1599</v>
      </c>
      <c r="D23" s="245">
        <v>800</v>
      </c>
      <c r="E23" s="245">
        <v>358.65</v>
      </c>
      <c r="F23" s="216"/>
      <c r="G23" s="213"/>
      <c r="H23" s="245">
        <v>500</v>
      </c>
      <c r="I23" s="245">
        <v>219.65</v>
      </c>
      <c r="J23" s="216"/>
      <c r="K23" s="213"/>
      <c r="L23" s="245">
        <v>400</v>
      </c>
      <c r="M23" s="245">
        <v>275.06</v>
      </c>
      <c r="N23" s="216"/>
      <c r="O23" s="213"/>
      <c r="P23" s="245">
        <v>400</v>
      </c>
      <c r="Q23" s="245">
        <v>744.3</v>
      </c>
      <c r="R23" s="216"/>
      <c r="S23" s="213"/>
      <c r="T23" s="245">
        <v>1500</v>
      </c>
      <c r="U23" s="245">
        <v>467.2</v>
      </c>
      <c r="V23" s="216"/>
      <c r="W23" s="213"/>
      <c r="X23" s="245">
        <v>1500</v>
      </c>
      <c r="Y23" s="245">
        <v>312.60000000000002</v>
      </c>
      <c r="Z23" s="216">
        <v>0</v>
      </c>
      <c r="AA23" s="213"/>
      <c r="AB23" s="245">
        <v>1500</v>
      </c>
      <c r="AC23" s="245">
        <v>156</v>
      </c>
      <c r="AD23" s="216">
        <v>0</v>
      </c>
      <c r="AE23" s="213"/>
      <c r="AF23" s="245">
        <v>1500</v>
      </c>
      <c r="AG23" s="245">
        <v>1500</v>
      </c>
      <c r="AH23" s="245">
        <v>959.95</v>
      </c>
      <c r="AI23" s="216">
        <f t="shared" si="0"/>
        <v>0</v>
      </c>
      <c r="AJ23" s="216"/>
      <c r="AK23" s="398">
        <v>1500</v>
      </c>
      <c r="AL23" s="398">
        <v>259</v>
      </c>
      <c r="AM23" s="396">
        <f t="shared" si="3"/>
        <v>0</v>
      </c>
      <c r="AN23" s="396"/>
      <c r="AO23" s="291">
        <v>1500</v>
      </c>
      <c r="AP23" s="398">
        <f t="shared" si="4"/>
        <v>0</v>
      </c>
      <c r="AQ23" s="396">
        <f t="shared" si="1"/>
        <v>0</v>
      </c>
      <c r="AR23" s="288"/>
    </row>
    <row r="24" spans="1:44" s="211" customFormat="1" x14ac:dyDescent="0.25">
      <c r="A24" s="211" t="s">
        <v>451</v>
      </c>
      <c r="B24" s="214" t="str">
        <f t="shared" si="2"/>
        <v>5341</v>
      </c>
      <c r="C24" s="211" t="s">
        <v>1640</v>
      </c>
      <c r="D24" s="245">
        <v>10000</v>
      </c>
      <c r="E24" s="245">
        <v>7993.72</v>
      </c>
      <c r="F24" s="216"/>
      <c r="G24" s="213"/>
      <c r="H24" s="245">
        <v>11500</v>
      </c>
      <c r="I24" s="245">
        <v>9699.1200000000008</v>
      </c>
      <c r="J24" s="216"/>
      <c r="K24" s="213"/>
      <c r="L24" s="245">
        <v>11000</v>
      </c>
      <c r="M24" s="245">
        <v>9566.18</v>
      </c>
      <c r="N24" s="216"/>
      <c r="O24" s="213"/>
      <c r="P24" s="245">
        <v>11000</v>
      </c>
      <c r="Q24" s="245">
        <v>7484.97</v>
      </c>
      <c r="R24" s="216"/>
      <c r="S24" s="213"/>
      <c r="T24" s="245">
        <v>11000</v>
      </c>
      <c r="U24" s="245">
        <v>8708.98</v>
      </c>
      <c r="V24" s="216"/>
      <c r="W24" s="213"/>
      <c r="X24" s="245">
        <v>10000</v>
      </c>
      <c r="Y24" s="245">
        <v>8573.27</v>
      </c>
      <c r="Z24" s="216">
        <v>-9.0909090909090912E-2</v>
      </c>
      <c r="AA24" s="213"/>
      <c r="AB24" s="245">
        <v>10000</v>
      </c>
      <c r="AC24" s="245">
        <v>8679.75</v>
      </c>
      <c r="AD24" s="216">
        <v>0</v>
      </c>
      <c r="AE24" s="213"/>
      <c r="AF24" s="245">
        <v>10000</v>
      </c>
      <c r="AG24" s="245">
        <v>10000</v>
      </c>
      <c r="AH24" s="398">
        <v>9298.3799999999992</v>
      </c>
      <c r="AI24" s="216">
        <f t="shared" si="0"/>
        <v>0</v>
      </c>
      <c r="AJ24" s="216"/>
      <c r="AK24" s="398">
        <v>12000</v>
      </c>
      <c r="AL24" s="398">
        <v>3693.88</v>
      </c>
      <c r="AM24" s="396">
        <f t="shared" si="3"/>
        <v>0.2</v>
      </c>
      <c r="AN24" s="396"/>
      <c r="AO24" s="291">
        <v>12000</v>
      </c>
      <c r="AP24" s="398">
        <f t="shared" si="4"/>
        <v>0</v>
      </c>
      <c r="AQ24" s="396">
        <f t="shared" si="1"/>
        <v>0</v>
      </c>
      <c r="AR24" s="400" t="s">
        <v>1431</v>
      </c>
    </row>
    <row r="25" spans="1:44" s="211" customFormat="1" x14ac:dyDescent="0.25">
      <c r="A25" s="211" t="s">
        <v>953</v>
      </c>
      <c r="B25" s="214" t="str">
        <f>MID(A25,14,4)</f>
        <v>5343</v>
      </c>
      <c r="C25" s="211" t="s">
        <v>1723</v>
      </c>
      <c r="D25" s="245">
        <v>0</v>
      </c>
      <c r="E25" s="245">
        <v>0</v>
      </c>
      <c r="F25" s="216"/>
      <c r="G25" s="213"/>
      <c r="H25" s="245">
        <v>0</v>
      </c>
      <c r="I25" s="245">
        <v>166</v>
      </c>
      <c r="J25" s="216"/>
      <c r="K25" s="213"/>
      <c r="L25" s="245">
        <v>0</v>
      </c>
      <c r="M25" s="245">
        <v>165</v>
      </c>
      <c r="N25" s="216"/>
      <c r="O25" s="213"/>
      <c r="P25" s="245">
        <v>0</v>
      </c>
      <c r="Q25" s="245">
        <v>0</v>
      </c>
      <c r="R25" s="216"/>
      <c r="S25" s="213"/>
      <c r="T25" s="245">
        <v>0</v>
      </c>
      <c r="U25" s="245">
        <v>140</v>
      </c>
      <c r="V25" s="216"/>
      <c r="W25" s="213"/>
      <c r="X25" s="245">
        <v>0</v>
      </c>
      <c r="Y25" s="245">
        <v>0</v>
      </c>
      <c r="Z25" s="216" t="e">
        <v>#DIV/0!</v>
      </c>
      <c r="AA25" s="213"/>
      <c r="AB25" s="245">
        <v>0</v>
      </c>
      <c r="AC25" s="245">
        <v>0</v>
      </c>
      <c r="AD25" s="216"/>
      <c r="AE25" s="213"/>
      <c r="AF25" s="245"/>
      <c r="AG25" s="245"/>
      <c r="AH25" s="245">
        <v>150</v>
      </c>
      <c r="AI25" s="216"/>
      <c r="AJ25" s="216"/>
      <c r="AK25" s="398"/>
      <c r="AL25" s="398">
        <v>210</v>
      </c>
      <c r="AM25" s="396"/>
      <c r="AN25" s="396"/>
      <c r="AO25" s="291"/>
      <c r="AP25" s="398">
        <f t="shared" si="4"/>
        <v>0</v>
      </c>
      <c r="AQ25" s="396"/>
      <c r="AR25" s="288"/>
    </row>
    <row r="26" spans="1:44" s="211" customFormat="1" x14ac:dyDescent="0.25">
      <c r="A26" s="211" t="s">
        <v>452</v>
      </c>
      <c r="B26" s="214" t="str">
        <f t="shared" si="2"/>
        <v>5344</v>
      </c>
      <c r="C26" s="211" t="s">
        <v>1601</v>
      </c>
      <c r="D26" s="245">
        <v>1000</v>
      </c>
      <c r="E26" s="245">
        <v>926.37</v>
      </c>
      <c r="F26" s="216"/>
      <c r="G26" s="213"/>
      <c r="H26" s="245">
        <v>1000</v>
      </c>
      <c r="I26" s="245">
        <v>937.67</v>
      </c>
      <c r="J26" s="216"/>
      <c r="K26" s="213"/>
      <c r="L26" s="245">
        <v>1000</v>
      </c>
      <c r="M26" s="245">
        <v>2826.22</v>
      </c>
      <c r="N26" s="216"/>
      <c r="O26" s="213"/>
      <c r="P26" s="245">
        <v>1500</v>
      </c>
      <c r="Q26" s="245">
        <v>-1740.54</v>
      </c>
      <c r="R26" s="216"/>
      <c r="S26" s="213"/>
      <c r="T26" s="245">
        <v>1000</v>
      </c>
      <c r="U26" s="245">
        <v>2736.75</v>
      </c>
      <c r="V26" s="216"/>
      <c r="W26" s="213"/>
      <c r="X26" s="245">
        <v>1000</v>
      </c>
      <c r="Y26" s="245">
        <v>129.63999999999999</v>
      </c>
      <c r="Z26" s="216">
        <v>0</v>
      </c>
      <c r="AA26" s="213"/>
      <c r="AB26" s="245">
        <v>1200</v>
      </c>
      <c r="AC26" s="245">
        <v>541.89</v>
      </c>
      <c r="AD26" s="216">
        <v>0.2</v>
      </c>
      <c r="AE26" s="213"/>
      <c r="AF26" s="245">
        <v>1200</v>
      </c>
      <c r="AG26" s="245">
        <v>1200</v>
      </c>
      <c r="AH26" s="245">
        <v>1003.47</v>
      </c>
      <c r="AI26" s="216">
        <f t="shared" si="0"/>
        <v>0</v>
      </c>
      <c r="AJ26" s="216"/>
      <c r="AK26" s="398">
        <v>1200</v>
      </c>
      <c r="AL26" s="398">
        <v>2716.6</v>
      </c>
      <c r="AM26" s="396">
        <f t="shared" si="3"/>
        <v>0</v>
      </c>
      <c r="AN26" s="396"/>
      <c r="AO26" s="291">
        <v>1200</v>
      </c>
      <c r="AP26" s="398">
        <f t="shared" si="4"/>
        <v>0</v>
      </c>
      <c r="AQ26" s="396">
        <f t="shared" si="1"/>
        <v>0</v>
      </c>
      <c r="AR26" s="288"/>
    </row>
    <row r="27" spans="1:44" s="211" customFormat="1" x14ac:dyDescent="0.25">
      <c r="A27" s="211" t="s">
        <v>453</v>
      </c>
      <c r="B27" s="214" t="str">
        <f t="shared" si="2"/>
        <v>5399</v>
      </c>
      <c r="C27" s="211" t="s">
        <v>1602</v>
      </c>
      <c r="D27" s="245">
        <v>3293</v>
      </c>
      <c r="E27" s="245">
        <v>2172.7399999999998</v>
      </c>
      <c r="F27" s="216"/>
      <c r="G27" s="213"/>
      <c r="H27" s="245">
        <v>3000</v>
      </c>
      <c r="I27" s="245">
        <v>200.69</v>
      </c>
      <c r="J27" s="216"/>
      <c r="K27" s="213"/>
      <c r="L27" s="245">
        <v>2800</v>
      </c>
      <c r="M27" s="245">
        <v>2614.14</v>
      </c>
      <c r="N27" s="216"/>
      <c r="O27" s="213"/>
      <c r="P27" s="245">
        <v>2000</v>
      </c>
      <c r="Q27" s="245">
        <v>869.97</v>
      </c>
      <c r="R27" s="216"/>
      <c r="S27" s="213"/>
      <c r="T27" s="245">
        <v>2800</v>
      </c>
      <c r="U27" s="245">
        <v>850</v>
      </c>
      <c r="V27" s="216"/>
      <c r="W27" s="213"/>
      <c r="X27" s="245">
        <v>2300</v>
      </c>
      <c r="Y27" s="245">
        <v>1775</v>
      </c>
      <c r="Z27" s="216">
        <v>-0.17857142857142858</v>
      </c>
      <c r="AA27" s="213"/>
      <c r="AB27" s="245">
        <v>2300</v>
      </c>
      <c r="AC27" s="245">
        <v>148</v>
      </c>
      <c r="AD27" s="216">
        <v>0</v>
      </c>
      <c r="AE27" s="213"/>
      <c r="AF27" s="245">
        <v>2300</v>
      </c>
      <c r="AG27" s="245">
        <v>2300</v>
      </c>
      <c r="AH27" s="245">
        <v>1125</v>
      </c>
      <c r="AI27" s="216">
        <f t="shared" si="0"/>
        <v>0</v>
      </c>
      <c r="AJ27" s="216"/>
      <c r="AK27" s="398">
        <v>2300</v>
      </c>
      <c r="AL27" s="398">
        <v>0</v>
      </c>
      <c r="AM27" s="396">
        <f t="shared" si="3"/>
        <v>0</v>
      </c>
      <c r="AN27" s="396"/>
      <c r="AO27" s="291">
        <v>2300</v>
      </c>
      <c r="AP27" s="398">
        <f t="shared" si="4"/>
        <v>0</v>
      </c>
      <c r="AQ27" s="396">
        <f t="shared" si="1"/>
        <v>0</v>
      </c>
      <c r="AR27" s="288"/>
    </row>
    <row r="28" spans="1:44" s="211" customFormat="1" x14ac:dyDescent="0.25">
      <c r="A28" s="211" t="s">
        <v>454</v>
      </c>
      <c r="B28" s="214" t="str">
        <f t="shared" si="2"/>
        <v>5420</v>
      </c>
      <c r="C28" s="211" t="s">
        <v>1480</v>
      </c>
      <c r="D28" s="245">
        <v>4500</v>
      </c>
      <c r="E28" s="245">
        <v>4017.97</v>
      </c>
      <c r="F28" s="216"/>
      <c r="G28" s="213"/>
      <c r="H28" s="245">
        <v>4500</v>
      </c>
      <c r="I28" s="245">
        <v>2973.26</v>
      </c>
      <c r="J28" s="216"/>
      <c r="K28" s="213"/>
      <c r="L28" s="245">
        <v>4400</v>
      </c>
      <c r="M28" s="245">
        <v>4336.43</v>
      </c>
      <c r="N28" s="216"/>
      <c r="O28" s="213"/>
      <c r="P28" s="245">
        <v>4400</v>
      </c>
      <c r="Q28" s="245">
        <v>3651.51</v>
      </c>
      <c r="R28" s="216"/>
      <c r="S28" s="213"/>
      <c r="T28" s="245">
        <v>4400</v>
      </c>
      <c r="U28" s="245">
        <v>3958.55</v>
      </c>
      <c r="V28" s="216"/>
      <c r="W28" s="213"/>
      <c r="X28" s="245">
        <v>4400</v>
      </c>
      <c r="Y28" s="245">
        <v>3659.96</v>
      </c>
      <c r="Z28" s="216">
        <v>0</v>
      </c>
      <c r="AA28" s="213"/>
      <c r="AB28" s="245">
        <v>4400</v>
      </c>
      <c r="AC28" s="245">
        <v>2190.88</v>
      </c>
      <c r="AD28" s="216">
        <v>0</v>
      </c>
      <c r="AE28" s="213"/>
      <c r="AF28" s="245">
        <v>4400</v>
      </c>
      <c r="AG28" s="245">
        <v>4400</v>
      </c>
      <c r="AH28" s="245">
        <v>3386.37</v>
      </c>
      <c r="AI28" s="216">
        <f t="shared" si="0"/>
        <v>0</v>
      </c>
      <c r="AJ28" s="216"/>
      <c r="AK28" s="398">
        <v>4500</v>
      </c>
      <c r="AL28" s="398">
        <v>1441.69</v>
      </c>
      <c r="AM28" s="396">
        <f t="shared" si="3"/>
        <v>2.2727272727272728E-2</v>
      </c>
      <c r="AN28" s="396"/>
      <c r="AO28" s="291">
        <v>4500</v>
      </c>
      <c r="AP28" s="398">
        <f t="shared" si="4"/>
        <v>0</v>
      </c>
      <c r="AQ28" s="396">
        <f t="shared" si="1"/>
        <v>0</v>
      </c>
      <c r="AR28" s="288"/>
    </row>
    <row r="29" spans="1:44" s="211" customFormat="1" x14ac:dyDescent="0.25">
      <c r="A29" s="211" t="s">
        <v>455</v>
      </c>
      <c r="B29" s="214" t="str">
        <f t="shared" si="2"/>
        <v>5422</v>
      </c>
      <c r="C29" s="211" t="s">
        <v>1858</v>
      </c>
      <c r="D29" s="245">
        <v>1600</v>
      </c>
      <c r="E29" s="245">
        <v>1911.75</v>
      </c>
      <c r="F29" s="216"/>
      <c r="G29" s="213"/>
      <c r="H29" s="245">
        <v>1600</v>
      </c>
      <c r="I29" s="245">
        <v>1781.69</v>
      </c>
      <c r="J29" s="216"/>
      <c r="K29" s="213"/>
      <c r="L29" s="245">
        <v>1800</v>
      </c>
      <c r="M29" s="245">
        <v>1805.99</v>
      </c>
      <c r="N29" s="216"/>
      <c r="O29" s="213"/>
      <c r="P29" s="245">
        <v>1500</v>
      </c>
      <c r="Q29" s="245">
        <v>1919.81</v>
      </c>
      <c r="R29" s="216"/>
      <c r="S29" s="213"/>
      <c r="T29" s="245">
        <v>1800</v>
      </c>
      <c r="U29" s="245">
        <v>823.66</v>
      </c>
      <c r="V29" s="216"/>
      <c r="W29" s="213"/>
      <c r="X29" s="245">
        <v>1800</v>
      </c>
      <c r="Y29" s="245">
        <v>319</v>
      </c>
      <c r="Z29" s="216">
        <v>0</v>
      </c>
      <c r="AA29" s="213"/>
      <c r="AB29" s="245">
        <v>1800</v>
      </c>
      <c r="AC29" s="245">
        <v>478.86</v>
      </c>
      <c r="AD29" s="216">
        <v>0</v>
      </c>
      <c r="AE29" s="213"/>
      <c r="AF29" s="245">
        <v>1800</v>
      </c>
      <c r="AG29" s="245">
        <v>1800</v>
      </c>
      <c r="AH29" s="245">
        <v>936.27</v>
      </c>
      <c r="AI29" s="216">
        <f t="shared" si="0"/>
        <v>0</v>
      </c>
      <c r="AJ29" s="216"/>
      <c r="AK29" s="398">
        <v>1800</v>
      </c>
      <c r="AL29" s="398">
        <v>579</v>
      </c>
      <c r="AM29" s="396">
        <f t="shared" si="3"/>
        <v>0</v>
      </c>
      <c r="AN29" s="396"/>
      <c r="AO29" s="291">
        <v>1800</v>
      </c>
      <c r="AP29" s="398">
        <f t="shared" si="4"/>
        <v>0</v>
      </c>
      <c r="AQ29" s="396">
        <f t="shared" si="1"/>
        <v>0</v>
      </c>
      <c r="AR29" s="288"/>
    </row>
    <row r="30" spans="1:44" s="211" customFormat="1" x14ac:dyDescent="0.25">
      <c r="A30" s="211" t="s">
        <v>456</v>
      </c>
      <c r="B30" s="214" t="str">
        <f t="shared" si="2"/>
        <v>5430</v>
      </c>
      <c r="C30" s="211" t="s">
        <v>1673</v>
      </c>
      <c r="D30" s="245">
        <v>200</v>
      </c>
      <c r="E30" s="245">
        <v>0</v>
      </c>
      <c r="F30" s="216"/>
      <c r="G30" s="213"/>
      <c r="H30" s="245">
        <v>200</v>
      </c>
      <c r="I30" s="245">
        <v>326.38</v>
      </c>
      <c r="J30" s="216"/>
      <c r="K30" s="213"/>
      <c r="L30" s="245">
        <v>500</v>
      </c>
      <c r="M30" s="245">
        <v>188.01</v>
      </c>
      <c r="N30" s="216"/>
      <c r="O30" s="213"/>
      <c r="P30" s="245">
        <v>500</v>
      </c>
      <c r="Q30" s="245">
        <v>189.68</v>
      </c>
      <c r="R30" s="216"/>
      <c r="S30" s="213"/>
      <c r="T30" s="245">
        <v>500</v>
      </c>
      <c r="U30" s="245">
        <v>132.47</v>
      </c>
      <c r="V30" s="216"/>
      <c r="W30" s="213"/>
      <c r="X30" s="245">
        <v>300</v>
      </c>
      <c r="Y30" s="245">
        <v>438.44</v>
      </c>
      <c r="Z30" s="216">
        <v>-0.4</v>
      </c>
      <c r="AA30" s="213"/>
      <c r="AB30" s="245">
        <v>600</v>
      </c>
      <c r="AC30" s="245">
        <v>299.06</v>
      </c>
      <c r="AD30" s="216">
        <v>1</v>
      </c>
      <c r="AE30" s="213"/>
      <c r="AF30" s="245">
        <v>700</v>
      </c>
      <c r="AG30" s="245">
        <v>700</v>
      </c>
      <c r="AH30" s="245">
        <v>614.02</v>
      </c>
      <c r="AI30" s="216">
        <f t="shared" si="0"/>
        <v>0.16666666666666666</v>
      </c>
      <c r="AJ30" s="216"/>
      <c r="AK30" s="398">
        <v>700</v>
      </c>
      <c r="AL30" s="398">
        <v>198.5</v>
      </c>
      <c r="AM30" s="396">
        <f t="shared" si="3"/>
        <v>0</v>
      </c>
      <c r="AN30" s="396"/>
      <c r="AO30" s="291">
        <v>700</v>
      </c>
      <c r="AP30" s="398">
        <f t="shared" si="4"/>
        <v>0</v>
      </c>
      <c r="AQ30" s="396">
        <f t="shared" si="1"/>
        <v>0</v>
      </c>
      <c r="AR30" s="288"/>
    </row>
    <row r="31" spans="1:44" s="211" customFormat="1" x14ac:dyDescent="0.25">
      <c r="A31" s="211" t="s">
        <v>457</v>
      </c>
      <c r="B31" s="214" t="str">
        <f t="shared" si="2"/>
        <v>5450</v>
      </c>
      <c r="C31" s="211" t="s">
        <v>1644</v>
      </c>
      <c r="D31" s="245">
        <v>700</v>
      </c>
      <c r="E31" s="245">
        <v>561.67999999999995</v>
      </c>
      <c r="F31" s="216"/>
      <c r="G31" s="213"/>
      <c r="H31" s="245">
        <v>800</v>
      </c>
      <c r="I31" s="245">
        <v>1051.6500000000001</v>
      </c>
      <c r="J31" s="216"/>
      <c r="K31" s="213"/>
      <c r="L31" s="245">
        <v>600</v>
      </c>
      <c r="M31" s="245">
        <v>942.14</v>
      </c>
      <c r="N31" s="216"/>
      <c r="O31" s="213"/>
      <c r="P31" s="245">
        <v>1000</v>
      </c>
      <c r="Q31" s="245">
        <v>1279.93</v>
      </c>
      <c r="R31" s="216"/>
      <c r="S31" s="213"/>
      <c r="T31" s="245">
        <v>1000</v>
      </c>
      <c r="U31" s="245">
        <v>916.49</v>
      </c>
      <c r="V31" s="216"/>
      <c r="W31" s="213"/>
      <c r="X31" s="245">
        <v>1200</v>
      </c>
      <c r="Y31" s="245">
        <v>898.96</v>
      </c>
      <c r="Z31" s="216">
        <v>0.2</v>
      </c>
      <c r="AA31" s="213"/>
      <c r="AB31" s="245">
        <v>1200</v>
      </c>
      <c r="AC31" s="245">
        <v>1590.95</v>
      </c>
      <c r="AD31" s="216">
        <v>0</v>
      </c>
      <c r="AE31" s="213"/>
      <c r="AF31" s="245">
        <v>1000</v>
      </c>
      <c r="AG31" s="245">
        <v>1000</v>
      </c>
      <c r="AH31" s="245">
        <v>1122.96</v>
      </c>
      <c r="AI31" s="216">
        <f t="shared" si="0"/>
        <v>-0.16666666666666666</v>
      </c>
      <c r="AJ31" s="216"/>
      <c r="AK31" s="398">
        <v>1000</v>
      </c>
      <c r="AL31" s="398">
        <v>601.53</v>
      </c>
      <c r="AM31" s="396">
        <f t="shared" si="3"/>
        <v>0</v>
      </c>
      <c r="AN31" s="396"/>
      <c r="AO31" s="291">
        <v>1100</v>
      </c>
      <c r="AP31" s="398">
        <f t="shared" si="4"/>
        <v>100</v>
      </c>
      <c r="AQ31" s="396">
        <f t="shared" si="1"/>
        <v>0.1</v>
      </c>
      <c r="AR31" s="288"/>
    </row>
    <row r="32" spans="1:44" s="211" customFormat="1" x14ac:dyDescent="0.25">
      <c r="A32" s="211" t="s">
        <v>458</v>
      </c>
      <c r="B32" s="214" t="str">
        <f t="shared" si="2"/>
        <v>5510</v>
      </c>
      <c r="C32" s="211" t="s">
        <v>1603</v>
      </c>
      <c r="D32" s="245">
        <v>0</v>
      </c>
      <c r="E32" s="245">
        <v>73</v>
      </c>
      <c r="F32" s="216"/>
      <c r="G32" s="213"/>
      <c r="H32" s="245">
        <v>200</v>
      </c>
      <c r="I32" s="245">
        <v>0</v>
      </c>
      <c r="J32" s="216"/>
      <c r="K32" s="213"/>
      <c r="L32" s="245">
        <v>200</v>
      </c>
      <c r="M32" s="245">
        <v>0</v>
      </c>
      <c r="N32" s="216"/>
      <c r="O32" s="213"/>
      <c r="P32" s="245">
        <v>50</v>
      </c>
      <c r="Q32" s="245">
        <v>0</v>
      </c>
      <c r="R32" s="216"/>
      <c r="S32" s="213"/>
      <c r="T32" s="245">
        <v>200</v>
      </c>
      <c r="U32" s="245">
        <v>0</v>
      </c>
      <c r="V32" s="216"/>
      <c r="W32" s="213"/>
      <c r="X32" s="245">
        <v>200</v>
      </c>
      <c r="Y32" s="245">
        <v>15.78</v>
      </c>
      <c r="Z32" s="216">
        <v>0</v>
      </c>
      <c r="AA32" s="213"/>
      <c r="AB32" s="245">
        <v>200</v>
      </c>
      <c r="AC32" s="245">
        <v>60</v>
      </c>
      <c r="AD32" s="216">
        <v>0</v>
      </c>
      <c r="AE32" s="213"/>
      <c r="AF32" s="245">
        <v>200</v>
      </c>
      <c r="AG32" s="245">
        <v>200</v>
      </c>
      <c r="AH32" s="245">
        <v>0</v>
      </c>
      <c r="AI32" s="216">
        <f t="shared" si="0"/>
        <v>0</v>
      </c>
      <c r="AJ32" s="216"/>
      <c r="AK32" s="398">
        <v>200</v>
      </c>
      <c r="AL32" s="398">
        <v>0</v>
      </c>
      <c r="AM32" s="396">
        <f t="shared" si="3"/>
        <v>0</v>
      </c>
      <c r="AN32" s="396"/>
      <c r="AO32" s="291">
        <v>200</v>
      </c>
      <c r="AP32" s="398">
        <f t="shared" si="4"/>
        <v>0</v>
      </c>
      <c r="AQ32" s="396">
        <f t="shared" si="1"/>
        <v>0</v>
      </c>
      <c r="AR32" s="288"/>
    </row>
    <row r="33" spans="1:45" s="394" customFormat="1" x14ac:dyDescent="0.25">
      <c r="A33" s="395" t="s">
        <v>1671</v>
      </c>
      <c r="B33" s="395">
        <v>5511</v>
      </c>
      <c r="C33" s="394" t="s">
        <v>1646</v>
      </c>
      <c r="D33" s="398"/>
      <c r="E33" s="398"/>
      <c r="F33" s="396"/>
      <c r="G33" s="397"/>
      <c r="H33" s="398"/>
      <c r="I33" s="398"/>
      <c r="J33" s="396"/>
      <c r="K33" s="397"/>
      <c r="L33" s="398"/>
      <c r="M33" s="398"/>
      <c r="N33" s="396"/>
      <c r="O33" s="397"/>
      <c r="P33" s="398"/>
      <c r="Q33" s="398"/>
      <c r="R33" s="396"/>
      <c r="S33" s="397"/>
      <c r="T33" s="398"/>
      <c r="U33" s="398"/>
      <c r="V33" s="396"/>
      <c r="W33" s="397"/>
      <c r="X33" s="398"/>
      <c r="Y33" s="398"/>
      <c r="Z33" s="396"/>
      <c r="AA33" s="397"/>
      <c r="AB33" s="398"/>
      <c r="AC33" s="398"/>
      <c r="AD33" s="396"/>
      <c r="AE33" s="397"/>
      <c r="AF33" s="398"/>
      <c r="AG33" s="398"/>
      <c r="AH33" s="398">
        <v>53.46</v>
      </c>
      <c r="AI33" s="396"/>
      <c r="AJ33" s="396"/>
      <c r="AK33" s="398"/>
      <c r="AL33" s="398">
        <v>0</v>
      </c>
      <c r="AM33" s="396"/>
      <c r="AN33" s="396"/>
      <c r="AO33" s="291"/>
      <c r="AP33" s="398"/>
      <c r="AQ33" s="396"/>
      <c r="AR33" s="400"/>
    </row>
    <row r="34" spans="1:45" s="211" customFormat="1" x14ac:dyDescent="0.25">
      <c r="A34" s="211" t="s">
        <v>459</v>
      </c>
      <c r="B34" s="214" t="str">
        <f t="shared" si="2"/>
        <v>5582</v>
      </c>
      <c r="C34" s="211" t="s">
        <v>1615</v>
      </c>
      <c r="D34" s="245">
        <v>1500</v>
      </c>
      <c r="E34" s="245">
        <v>0</v>
      </c>
      <c r="F34" s="216"/>
      <c r="G34" s="213"/>
      <c r="H34" s="245">
        <v>1500</v>
      </c>
      <c r="I34" s="245">
        <v>336.94</v>
      </c>
      <c r="J34" s="216"/>
      <c r="K34" s="213"/>
      <c r="L34" s="245">
        <v>1000</v>
      </c>
      <c r="M34" s="245">
        <v>108.8</v>
      </c>
      <c r="N34" s="216"/>
      <c r="O34" s="213"/>
      <c r="P34" s="245">
        <v>1000</v>
      </c>
      <c r="Q34" s="245">
        <v>1502.86</v>
      </c>
      <c r="R34" s="216"/>
      <c r="S34" s="213"/>
      <c r="T34" s="245">
        <v>1000</v>
      </c>
      <c r="U34" s="245">
        <v>733.65</v>
      </c>
      <c r="V34" s="216"/>
      <c r="W34" s="213"/>
      <c r="X34" s="245">
        <v>1000</v>
      </c>
      <c r="Y34" s="245">
        <v>39.950000000000003</v>
      </c>
      <c r="Z34" s="216">
        <v>0</v>
      </c>
      <c r="AA34" s="213"/>
      <c r="AB34" s="245">
        <v>1000</v>
      </c>
      <c r="AC34" s="245">
        <v>0</v>
      </c>
      <c r="AD34" s="216">
        <v>0</v>
      </c>
      <c r="AE34" s="213"/>
      <c r="AF34" s="245">
        <v>1000</v>
      </c>
      <c r="AG34" s="245">
        <v>1000</v>
      </c>
      <c r="AH34" s="245">
        <v>71.88</v>
      </c>
      <c r="AI34" s="216">
        <f t="shared" si="0"/>
        <v>0</v>
      </c>
      <c r="AJ34" s="216"/>
      <c r="AK34" s="398">
        <v>1000</v>
      </c>
      <c r="AL34" s="398">
        <v>0</v>
      </c>
      <c r="AM34" s="396">
        <f t="shared" si="3"/>
        <v>0</v>
      </c>
      <c r="AN34" s="396"/>
      <c r="AO34" s="291">
        <v>1000</v>
      </c>
      <c r="AP34" s="398">
        <f t="shared" si="4"/>
        <v>0</v>
      </c>
      <c r="AQ34" s="396">
        <f t="shared" si="1"/>
        <v>0</v>
      </c>
      <c r="AR34" s="288"/>
    </row>
    <row r="35" spans="1:45" s="211" customFormat="1" x14ac:dyDescent="0.25">
      <c r="A35" s="211" t="s">
        <v>460</v>
      </c>
      <c r="B35" s="214" t="str">
        <f t="shared" si="2"/>
        <v>5589</v>
      </c>
      <c r="C35" s="211" t="s">
        <v>1604</v>
      </c>
      <c r="D35" s="245">
        <v>250</v>
      </c>
      <c r="E35" s="245">
        <v>95.98</v>
      </c>
      <c r="F35" s="216"/>
      <c r="G35" s="213"/>
      <c r="H35" s="245">
        <v>250</v>
      </c>
      <c r="I35" s="245">
        <v>628.02</v>
      </c>
      <c r="J35" s="216"/>
      <c r="K35" s="213"/>
      <c r="L35" s="245">
        <v>250</v>
      </c>
      <c r="M35" s="245">
        <v>63.91</v>
      </c>
      <c r="N35" s="216"/>
      <c r="O35" s="213"/>
      <c r="P35" s="245">
        <v>300</v>
      </c>
      <c r="Q35" s="245">
        <v>448.6</v>
      </c>
      <c r="R35" s="216"/>
      <c r="S35" s="213"/>
      <c r="T35" s="245">
        <v>250</v>
      </c>
      <c r="U35" s="245">
        <v>521.4</v>
      </c>
      <c r="V35" s="216"/>
      <c r="W35" s="213"/>
      <c r="X35" s="245">
        <v>250</v>
      </c>
      <c r="Y35" s="245">
        <v>554.66999999999996</v>
      </c>
      <c r="Z35" s="216">
        <v>0</v>
      </c>
      <c r="AA35" s="213"/>
      <c r="AB35" s="245">
        <v>250</v>
      </c>
      <c r="AC35" s="245">
        <v>377.25</v>
      </c>
      <c r="AD35" s="216">
        <v>0</v>
      </c>
      <c r="AE35" s="213"/>
      <c r="AF35" s="245">
        <v>250</v>
      </c>
      <c r="AG35" s="245">
        <v>250</v>
      </c>
      <c r="AH35" s="245">
        <v>476.07</v>
      </c>
      <c r="AI35" s="216">
        <f t="shared" si="0"/>
        <v>0</v>
      </c>
      <c r="AJ35" s="216"/>
      <c r="AK35" s="398">
        <v>360</v>
      </c>
      <c r="AL35" s="398">
        <v>60</v>
      </c>
      <c r="AM35" s="396">
        <f t="shared" si="3"/>
        <v>0.44</v>
      </c>
      <c r="AN35" s="396"/>
      <c r="AO35" s="291">
        <v>360</v>
      </c>
      <c r="AP35" s="398">
        <f t="shared" si="4"/>
        <v>0</v>
      </c>
      <c r="AQ35" s="396">
        <f t="shared" si="1"/>
        <v>0</v>
      </c>
      <c r="AR35" s="288"/>
    </row>
    <row r="36" spans="1:45" s="211" customFormat="1" x14ac:dyDescent="0.25">
      <c r="A36" s="211" t="s">
        <v>461</v>
      </c>
      <c r="B36" s="214" t="str">
        <f t="shared" si="2"/>
        <v>5595</v>
      </c>
      <c r="C36" s="211" t="s">
        <v>1654</v>
      </c>
      <c r="D36" s="245">
        <v>0</v>
      </c>
      <c r="E36" s="245">
        <v>0</v>
      </c>
      <c r="F36" s="216"/>
      <c r="G36" s="213"/>
      <c r="H36" s="245">
        <v>0</v>
      </c>
      <c r="I36" s="245">
        <v>349.25</v>
      </c>
      <c r="J36" s="216"/>
      <c r="K36" s="213"/>
      <c r="L36" s="245">
        <v>300</v>
      </c>
      <c r="M36" s="245">
        <v>691.72</v>
      </c>
      <c r="N36" s="216"/>
      <c r="O36" s="213"/>
      <c r="P36" s="245">
        <v>325</v>
      </c>
      <c r="Q36" s="245">
        <v>380</v>
      </c>
      <c r="R36" s="216"/>
      <c r="S36" s="213"/>
      <c r="T36" s="245">
        <v>400</v>
      </c>
      <c r="U36" s="245">
        <v>399.75</v>
      </c>
      <c r="V36" s="216"/>
      <c r="W36" s="213"/>
      <c r="X36" s="245">
        <v>400</v>
      </c>
      <c r="Y36" s="245">
        <v>467.77</v>
      </c>
      <c r="Z36" s="216">
        <v>0</v>
      </c>
      <c r="AA36" s="213"/>
      <c r="AB36" s="245">
        <v>400</v>
      </c>
      <c r="AC36" s="245">
        <v>683.36</v>
      </c>
      <c r="AD36" s="216">
        <v>0</v>
      </c>
      <c r="AE36" s="213"/>
      <c r="AF36" s="245">
        <v>400</v>
      </c>
      <c r="AG36" s="245">
        <v>400</v>
      </c>
      <c r="AH36" s="245">
        <v>255.25</v>
      </c>
      <c r="AI36" s="216">
        <f t="shared" si="0"/>
        <v>0</v>
      </c>
      <c r="AJ36" s="216"/>
      <c r="AK36" s="398">
        <v>400</v>
      </c>
      <c r="AL36" s="398">
        <v>180.5</v>
      </c>
      <c r="AM36" s="396">
        <f t="shared" si="3"/>
        <v>0</v>
      </c>
      <c r="AN36" s="396"/>
      <c r="AO36" s="291">
        <v>400</v>
      </c>
      <c r="AP36" s="398">
        <f t="shared" si="4"/>
        <v>0</v>
      </c>
      <c r="AQ36" s="396">
        <f t="shared" si="1"/>
        <v>0</v>
      </c>
      <c r="AR36" s="288"/>
    </row>
    <row r="37" spans="1:45" s="394" customFormat="1" x14ac:dyDescent="0.25">
      <c r="A37" s="395" t="s">
        <v>1484</v>
      </c>
      <c r="B37" s="395" t="str">
        <f>MID(A37,14,4)</f>
        <v>5710</v>
      </c>
      <c r="C37" s="394" t="s">
        <v>1485</v>
      </c>
      <c r="D37" s="398"/>
      <c r="E37" s="398"/>
      <c r="F37" s="396"/>
      <c r="G37" s="397"/>
      <c r="H37" s="398"/>
      <c r="I37" s="398"/>
      <c r="J37" s="396"/>
      <c r="K37" s="397"/>
      <c r="L37" s="398"/>
      <c r="M37" s="398"/>
      <c r="N37" s="396"/>
      <c r="O37" s="397"/>
      <c r="P37" s="398"/>
      <c r="Q37" s="398"/>
      <c r="R37" s="396"/>
      <c r="S37" s="397"/>
      <c r="T37" s="398"/>
      <c r="U37" s="398"/>
      <c r="V37" s="396"/>
      <c r="W37" s="397"/>
      <c r="X37" s="398"/>
      <c r="Y37" s="398"/>
      <c r="Z37" s="396"/>
      <c r="AA37" s="397"/>
      <c r="AB37" s="398"/>
      <c r="AC37" s="398"/>
      <c r="AD37" s="396"/>
      <c r="AE37" s="397"/>
      <c r="AF37" s="398"/>
      <c r="AG37" s="398"/>
      <c r="AH37" s="398">
        <v>235.58</v>
      </c>
      <c r="AI37" s="396"/>
      <c r="AJ37" s="396"/>
      <c r="AK37" s="398"/>
      <c r="AL37" s="398">
        <v>212.04</v>
      </c>
      <c r="AM37" s="396"/>
      <c r="AN37" s="396"/>
      <c r="AO37" s="291">
        <v>300</v>
      </c>
      <c r="AP37" s="398">
        <f t="shared" si="4"/>
        <v>300</v>
      </c>
      <c r="AQ37" s="396"/>
      <c r="AR37" s="400"/>
    </row>
    <row r="38" spans="1:45" s="211" customFormat="1" x14ac:dyDescent="0.25">
      <c r="A38" s="211" t="s">
        <v>888</v>
      </c>
      <c r="B38" s="214" t="str">
        <f t="shared" si="2"/>
        <v>5711</v>
      </c>
      <c r="C38" s="211" t="s">
        <v>1606</v>
      </c>
      <c r="D38" s="245">
        <v>0</v>
      </c>
      <c r="E38" s="245">
        <v>0</v>
      </c>
      <c r="F38" s="216"/>
      <c r="G38" s="213"/>
      <c r="H38" s="245">
        <v>0</v>
      </c>
      <c r="I38" s="245">
        <v>1349.63</v>
      </c>
      <c r="J38" s="216"/>
      <c r="K38" s="213"/>
      <c r="L38" s="245">
        <v>0</v>
      </c>
      <c r="M38" s="245">
        <v>1501.98</v>
      </c>
      <c r="N38" s="216"/>
      <c r="O38" s="213"/>
      <c r="P38" s="245">
        <v>0</v>
      </c>
      <c r="Q38" s="245">
        <v>1483.92</v>
      </c>
      <c r="R38" s="216"/>
      <c r="S38" s="213"/>
      <c r="T38" s="245">
        <v>1500</v>
      </c>
      <c r="U38" s="245">
        <v>1715.05</v>
      </c>
      <c r="V38" s="216"/>
      <c r="W38" s="213"/>
      <c r="X38" s="245">
        <v>1500</v>
      </c>
      <c r="Y38" s="245">
        <v>1599.55</v>
      </c>
      <c r="Z38" s="216">
        <v>0</v>
      </c>
      <c r="AA38" s="213"/>
      <c r="AB38" s="245">
        <v>1700</v>
      </c>
      <c r="AC38" s="245">
        <v>1619.14</v>
      </c>
      <c r="AD38" s="216">
        <v>0.13333333333333333</v>
      </c>
      <c r="AE38" s="213"/>
      <c r="AF38" s="245">
        <v>1700</v>
      </c>
      <c r="AG38" s="245">
        <v>1700</v>
      </c>
      <c r="AH38" s="245">
        <v>1712.61</v>
      </c>
      <c r="AI38" s="216">
        <f t="shared" si="0"/>
        <v>0</v>
      </c>
      <c r="AJ38" s="216"/>
      <c r="AK38" s="398">
        <v>1900</v>
      </c>
      <c r="AL38" s="398">
        <v>721.58</v>
      </c>
      <c r="AM38" s="396">
        <f t="shared" si="3"/>
        <v>0.11764705882352941</v>
      </c>
      <c r="AN38" s="396"/>
      <c r="AO38" s="291">
        <v>1900</v>
      </c>
      <c r="AP38" s="398">
        <f t="shared" si="4"/>
        <v>0</v>
      </c>
      <c r="AQ38" s="396">
        <f t="shared" si="1"/>
        <v>0</v>
      </c>
      <c r="AR38" s="524" t="s">
        <v>2084</v>
      </c>
    </row>
    <row r="39" spans="1:45" x14ac:dyDescent="0.25">
      <c r="A39" s="161" t="s">
        <v>462</v>
      </c>
      <c r="B39" s="119" t="str">
        <f t="shared" si="2"/>
        <v>5850</v>
      </c>
      <c r="C39" s="161" t="s">
        <v>1674</v>
      </c>
      <c r="D39" s="245">
        <v>800</v>
      </c>
      <c r="E39" s="245">
        <v>719.94</v>
      </c>
      <c r="F39" s="216"/>
      <c r="H39" s="245">
        <v>700</v>
      </c>
      <c r="I39" s="245">
        <v>528</v>
      </c>
      <c r="J39" s="216"/>
      <c r="L39" s="245">
        <v>500</v>
      </c>
      <c r="M39" s="245">
        <v>0</v>
      </c>
      <c r="N39" s="216"/>
      <c r="P39" s="245">
        <v>4500</v>
      </c>
      <c r="Q39" s="245">
        <v>42.49</v>
      </c>
      <c r="R39" s="216"/>
      <c r="T39" s="245">
        <v>1500</v>
      </c>
      <c r="U39" s="245">
        <v>0</v>
      </c>
      <c r="V39" s="216"/>
      <c r="W39" s="213"/>
      <c r="X39" s="245">
        <v>1500</v>
      </c>
      <c r="Y39" s="245">
        <v>300</v>
      </c>
      <c r="Z39" s="216">
        <v>0</v>
      </c>
      <c r="AA39" s="213"/>
      <c r="AB39" s="245">
        <v>1500</v>
      </c>
      <c r="AC39" s="245">
        <v>188</v>
      </c>
      <c r="AD39" s="216">
        <v>0</v>
      </c>
      <c r="AF39" s="245">
        <v>1500</v>
      </c>
      <c r="AG39" s="245">
        <v>1500</v>
      </c>
      <c r="AH39" s="398">
        <v>263.24</v>
      </c>
      <c r="AI39" s="216">
        <f t="shared" si="0"/>
        <v>0</v>
      </c>
      <c r="AJ39" s="80"/>
      <c r="AK39" s="398">
        <v>1500</v>
      </c>
      <c r="AL39" s="398">
        <v>0</v>
      </c>
      <c r="AM39" s="396">
        <f t="shared" si="3"/>
        <v>0</v>
      </c>
      <c r="AN39" s="396"/>
      <c r="AO39" s="143">
        <v>1500</v>
      </c>
      <c r="AP39" s="398">
        <f t="shared" si="4"/>
        <v>0</v>
      </c>
      <c r="AQ39" s="396">
        <f t="shared" si="1"/>
        <v>0</v>
      </c>
      <c r="AR39" s="166"/>
    </row>
    <row r="40" spans="1:45" x14ac:dyDescent="0.25">
      <c r="A40" s="161" t="s">
        <v>463</v>
      </c>
      <c r="B40" s="119" t="str">
        <f t="shared" si="2"/>
        <v>5870</v>
      </c>
      <c r="C40" s="161" t="s">
        <v>1675</v>
      </c>
      <c r="D40" s="245">
        <v>800</v>
      </c>
      <c r="E40" s="245">
        <v>895.66</v>
      </c>
      <c r="F40" s="216"/>
      <c r="H40" s="245">
        <v>700</v>
      </c>
      <c r="I40" s="245">
        <v>0</v>
      </c>
      <c r="J40" s="216"/>
      <c r="L40" s="245">
        <v>500</v>
      </c>
      <c r="M40" s="245">
        <v>24.98</v>
      </c>
      <c r="N40" s="216"/>
      <c r="P40" s="245">
        <v>500</v>
      </c>
      <c r="Q40" s="245">
        <v>208.1</v>
      </c>
      <c r="R40" s="216"/>
      <c r="T40" s="245">
        <v>500</v>
      </c>
      <c r="U40" s="245">
        <v>50</v>
      </c>
      <c r="V40" s="216"/>
      <c r="W40" s="213"/>
      <c r="X40" s="245">
        <v>500</v>
      </c>
      <c r="Y40" s="245">
        <v>891.3</v>
      </c>
      <c r="Z40" s="216">
        <v>0</v>
      </c>
      <c r="AA40" s="213"/>
      <c r="AB40" s="245">
        <v>500</v>
      </c>
      <c r="AC40" s="245">
        <v>2422.6999999999998</v>
      </c>
      <c r="AD40" s="216">
        <v>0</v>
      </c>
      <c r="AF40" s="245">
        <v>500</v>
      </c>
      <c r="AG40" s="245">
        <v>500</v>
      </c>
      <c r="AH40" s="398">
        <v>469.94</v>
      </c>
      <c r="AI40" s="216">
        <f>(AG40-AB40)/AB40</f>
        <v>0</v>
      </c>
      <c r="AJ40" s="80"/>
      <c r="AK40" s="398">
        <v>500</v>
      </c>
      <c r="AL40" s="398">
        <v>0</v>
      </c>
      <c r="AM40" s="396">
        <f t="shared" si="3"/>
        <v>0</v>
      </c>
      <c r="AN40" s="396"/>
      <c r="AO40" s="143">
        <v>500</v>
      </c>
      <c r="AP40" s="398">
        <f t="shared" si="4"/>
        <v>0</v>
      </c>
      <c r="AQ40" s="396">
        <f t="shared" si="1"/>
        <v>0</v>
      </c>
      <c r="AR40" s="166"/>
    </row>
    <row r="41" spans="1:45" s="114" customFormat="1" x14ac:dyDescent="0.25">
      <c r="A41" s="219"/>
      <c r="B41" s="219"/>
      <c r="C41" s="219" t="s">
        <v>279</v>
      </c>
      <c r="D41" s="220">
        <f>SUM(D11:D40)</f>
        <v>61952.84</v>
      </c>
      <c r="E41" s="220">
        <f>SUM(E11:E40)</f>
        <v>58315.970000000016</v>
      </c>
      <c r="F41" s="221">
        <v>1.1599999999999999E-2</v>
      </c>
      <c r="G41" s="219"/>
      <c r="H41" s="220">
        <f>SUM(H11:H40)</f>
        <v>69050</v>
      </c>
      <c r="I41" s="220">
        <f>SUM(I11:I40)</f>
        <v>69088.540000000008</v>
      </c>
      <c r="J41" s="221">
        <v>1.1599999999999999E-2</v>
      </c>
      <c r="K41" s="219"/>
      <c r="L41" s="220">
        <f>SUM(L11:L40)</f>
        <v>69850</v>
      </c>
      <c r="M41" s="220">
        <f>SUM(M11:M40)</f>
        <v>74405.47</v>
      </c>
      <c r="N41" s="221">
        <v>1.1599999999999999E-2</v>
      </c>
      <c r="O41" s="219"/>
      <c r="P41" s="220">
        <f>SUM(P11:P40)</f>
        <v>76375</v>
      </c>
      <c r="Q41" s="220">
        <f>SUM(Q11:Q40)</f>
        <v>73724.77</v>
      </c>
      <c r="R41" s="221">
        <v>1.1599999999999999E-2</v>
      </c>
      <c r="S41" s="219"/>
      <c r="T41" s="220">
        <f>SUM(T11:T40)</f>
        <v>76850</v>
      </c>
      <c r="U41" s="220">
        <f>SUM(U11:U40)</f>
        <v>68646.600000000006</v>
      </c>
      <c r="V41" s="221">
        <v>1.1599999999999999E-2</v>
      </c>
      <c r="W41" s="219"/>
      <c r="X41" s="220">
        <f>SUM(X11:X40)</f>
        <v>76850</v>
      </c>
      <c r="Y41" s="220">
        <f>SUM(Y11:Y40)</f>
        <v>58016.49</v>
      </c>
      <c r="Z41" s="222">
        <f>(X41-T41)/T41</f>
        <v>0</v>
      </c>
      <c r="AA41" s="219"/>
      <c r="AB41" s="220">
        <f>SUM(AB11:AB40)</f>
        <v>78850</v>
      </c>
      <c r="AC41" s="220">
        <f>SUM(AC11:AC40)</f>
        <v>59237.859999999993</v>
      </c>
      <c r="AD41" s="221">
        <f>(AB41-X41)/X41</f>
        <v>2.6024723487312947E-2</v>
      </c>
      <c r="AE41" s="219"/>
      <c r="AF41" s="220">
        <f>SUM(AF11:AF40)</f>
        <v>79025</v>
      </c>
      <c r="AG41" s="220">
        <f>SUM(AG11:AG40)</f>
        <v>79025</v>
      </c>
      <c r="AH41" s="220">
        <f>SUM(AH11:AH40)</f>
        <v>63615.529999999984</v>
      </c>
      <c r="AI41" s="221">
        <f>(AG41-AB41)/AB41</f>
        <v>2.2194039315155357E-3</v>
      </c>
      <c r="AJ41" s="221"/>
      <c r="AK41" s="223">
        <f>SUM(AK11:AK40)</f>
        <v>85960</v>
      </c>
      <c r="AL41" s="401">
        <f>SUM(AL11:AL40)</f>
        <v>35607.43</v>
      </c>
      <c r="AM41" s="221">
        <f>(AK41-AG41)/AG41</f>
        <v>8.7757038911736793E-2</v>
      </c>
      <c r="AN41" s="221"/>
      <c r="AO41" s="223">
        <f>SUM(AO11:AO40)</f>
        <v>91660</v>
      </c>
      <c r="AP41" s="220">
        <f>SUM(AP11:AP40)</f>
        <v>5700</v>
      </c>
      <c r="AQ41" s="221">
        <f>AP41/AK41</f>
        <v>6.6309911586784551E-2</v>
      </c>
      <c r="AR41" s="219"/>
    </row>
    <row r="42" spans="1:45" s="211" customFormat="1" x14ac:dyDescent="0.25">
      <c r="D42" s="112"/>
      <c r="E42" s="112"/>
      <c r="F42" s="216"/>
      <c r="G42" s="213"/>
      <c r="H42" s="112"/>
      <c r="I42" s="112"/>
      <c r="J42" s="216"/>
      <c r="K42" s="213"/>
      <c r="L42" s="112"/>
      <c r="M42" s="112"/>
      <c r="N42" s="216"/>
      <c r="O42" s="213"/>
      <c r="P42" s="112"/>
      <c r="Q42" s="112"/>
      <c r="R42" s="216"/>
      <c r="S42" s="213"/>
      <c r="T42" s="112"/>
      <c r="U42" s="112"/>
      <c r="V42" s="216"/>
      <c r="W42" s="213"/>
      <c r="X42" s="112"/>
      <c r="Y42" s="112"/>
      <c r="Z42" s="216"/>
      <c r="AA42" s="213"/>
      <c r="AB42" s="112"/>
      <c r="AC42" s="112"/>
      <c r="AD42" s="216"/>
      <c r="AE42" s="213"/>
      <c r="AF42" s="112"/>
      <c r="AG42" s="112"/>
      <c r="AH42" s="112"/>
      <c r="AI42" s="216"/>
      <c r="AJ42" s="216"/>
      <c r="AK42" s="399"/>
      <c r="AL42" s="112"/>
      <c r="AM42" s="396"/>
      <c r="AN42" s="396"/>
      <c r="AO42" s="212"/>
      <c r="AP42" s="112"/>
      <c r="AQ42" s="396"/>
    </row>
    <row r="43" spans="1:45" s="114" customFormat="1" ht="12.75" x14ac:dyDescent="0.2">
      <c r="A43" s="228"/>
      <c r="B43" s="228"/>
      <c r="C43" s="233" t="s">
        <v>280</v>
      </c>
      <c r="D43" s="230">
        <f>D9+D41</f>
        <v>133252</v>
      </c>
      <c r="E43" s="230">
        <f>E9+E41</f>
        <v>129615.13000000002</v>
      </c>
      <c r="F43" s="231">
        <v>2.92E-2</v>
      </c>
      <c r="G43" s="228"/>
      <c r="H43" s="230">
        <f>H9+H41</f>
        <v>142831</v>
      </c>
      <c r="I43" s="230">
        <f>I9+I41</f>
        <v>142614.13</v>
      </c>
      <c r="J43" s="231">
        <v>2.92E-2</v>
      </c>
      <c r="K43" s="228"/>
      <c r="L43" s="230">
        <f>L9+L41</f>
        <v>146996.25</v>
      </c>
      <c r="M43" s="230">
        <f>M9+M41</f>
        <v>150523.15000000002</v>
      </c>
      <c r="N43" s="231">
        <v>2.92E-2</v>
      </c>
      <c r="O43" s="228"/>
      <c r="P43" s="230">
        <f>P9+P41</f>
        <v>155325.41999999998</v>
      </c>
      <c r="Q43" s="230">
        <f>Q9+Q41</f>
        <v>152409.24</v>
      </c>
      <c r="R43" s="231">
        <v>2.92E-2</v>
      </c>
      <c r="S43" s="228"/>
      <c r="T43" s="230">
        <f>T9+T41</f>
        <v>156979.82</v>
      </c>
      <c r="U43" s="230">
        <f>U9+U41</f>
        <v>148261.01</v>
      </c>
      <c r="V43" s="231">
        <v>2.92E-2</v>
      </c>
      <c r="W43" s="228"/>
      <c r="X43" s="230">
        <f>X9+X41</f>
        <v>160793.78</v>
      </c>
      <c r="Y43" s="230">
        <f>Y9+Y41</f>
        <v>142125.07999999999</v>
      </c>
      <c r="Z43" s="231">
        <f>(X43-T43)/T43</f>
        <v>2.4295861722863434E-2</v>
      </c>
      <c r="AA43" s="228"/>
      <c r="AB43" s="230">
        <f>AB9+AB41</f>
        <v>165094.76</v>
      </c>
      <c r="AC43" s="230">
        <f>AC9+AC41</f>
        <v>146761.47</v>
      </c>
      <c r="AD43" s="231">
        <f>(AB43-X43)/X43</f>
        <v>2.6748422731277359E-2</v>
      </c>
      <c r="AE43" s="228"/>
      <c r="AF43" s="230">
        <f>AF9+AF41</f>
        <v>168562.25</v>
      </c>
      <c r="AG43" s="382">
        <f>AG9+AG41</f>
        <v>173573.47</v>
      </c>
      <c r="AH43" s="230">
        <f>AH9+AH41</f>
        <v>159363.58999999997</v>
      </c>
      <c r="AI43" s="231">
        <f>(AG43-AB43)/AB43</f>
        <v>5.1356626945640138E-2</v>
      </c>
      <c r="AJ43" s="231"/>
      <c r="AK43" s="232">
        <f>AK9+AK41</f>
        <v>185076.30556000001</v>
      </c>
      <c r="AL43" s="402">
        <f>AL9+AL41</f>
        <v>85133.959999999992</v>
      </c>
      <c r="AM43" s="231">
        <f t="shared" si="3"/>
        <v>6.6270701161876902E-2</v>
      </c>
      <c r="AN43" s="231"/>
      <c r="AO43" s="232">
        <f>AO9+AO41</f>
        <v>196716.70732000002</v>
      </c>
      <c r="AP43" s="402">
        <f>AP9+AP41</f>
        <v>11640.401760000008</v>
      </c>
      <c r="AQ43" s="231">
        <f t="shared" si="1"/>
        <v>6.2895148705171766E-2</v>
      </c>
      <c r="AR43" s="233"/>
    </row>
    <row r="44" spans="1:45" x14ac:dyDescent="0.25">
      <c r="D44" s="120"/>
      <c r="H44" s="120"/>
      <c r="L44" s="120"/>
      <c r="P44" s="120"/>
      <c r="T44" s="120"/>
      <c r="X44" s="120"/>
      <c r="AB44" s="120"/>
      <c r="AF44" s="120"/>
      <c r="AG44" s="120"/>
      <c r="AK44" s="403"/>
      <c r="AM44" s="396"/>
      <c r="AP44" s="211"/>
      <c r="AQ44" s="396"/>
    </row>
    <row r="45" spans="1:45" s="111" customFormat="1" thickBot="1" x14ac:dyDescent="0.25">
      <c r="C45" s="111" t="s">
        <v>281</v>
      </c>
      <c r="E45" s="121">
        <f>D43-E43</f>
        <v>3636.8699999999808</v>
      </c>
      <c r="G45" s="118"/>
      <c r="I45" s="121">
        <f>H43-I43</f>
        <v>216.86999999999534</v>
      </c>
      <c r="K45" s="118"/>
      <c r="M45" s="121">
        <f>L43-M43</f>
        <v>-3526.9000000000233</v>
      </c>
      <c r="O45" s="118"/>
      <c r="Q45" s="121">
        <f>P43-Q43</f>
        <v>2916.179999999993</v>
      </c>
      <c r="S45" s="118"/>
      <c r="U45" s="121">
        <f>T43-U43</f>
        <v>8718.8099999999977</v>
      </c>
      <c r="W45" s="118"/>
      <c r="Y45" s="121">
        <f>X43-Y43</f>
        <v>18668.700000000012</v>
      </c>
      <c r="AA45" s="118"/>
      <c r="AC45" s="121">
        <f>AB43-AC43</f>
        <v>18333.290000000008</v>
      </c>
      <c r="AE45" s="118"/>
      <c r="AH45" s="121">
        <f>AG43-AH43</f>
        <v>14209.880000000034</v>
      </c>
      <c r="AL45" s="121">
        <f>AK43-AL43</f>
        <v>99942.345560000016</v>
      </c>
      <c r="AR45" s="122"/>
    </row>
    <row r="46" spans="1:45" ht="14.25" thickTop="1" x14ac:dyDescent="0.25">
      <c r="AO46" s="240" t="s">
        <v>1195</v>
      </c>
      <c r="AP46" s="241"/>
      <c r="AQ46" s="242"/>
      <c r="AR46" s="211"/>
      <c r="AS46" s="211"/>
    </row>
    <row r="47" spans="1:45" x14ac:dyDescent="0.25">
      <c r="F47" s="111"/>
      <c r="J47" s="111"/>
      <c r="N47" s="111"/>
      <c r="R47" s="111"/>
      <c r="V47" s="111"/>
      <c r="AO47" s="243" t="s">
        <v>313</v>
      </c>
      <c r="AP47" s="5"/>
      <c r="AQ47" s="299">
        <f>AO9*0.0145</f>
        <v>1523.3222561400003</v>
      </c>
      <c r="AR47" s="211"/>
      <c r="AS47" s="211"/>
    </row>
    <row r="48" spans="1:45" x14ac:dyDescent="0.25">
      <c r="AO48" s="210" t="s">
        <v>314</v>
      </c>
      <c r="AP48" s="5"/>
      <c r="AQ48" s="299">
        <f>AO9*0.0009</f>
        <v>94.551036588000017</v>
      </c>
      <c r="AR48" s="211"/>
      <c r="AS48" s="211"/>
    </row>
    <row r="49" spans="4:45" x14ac:dyDescent="0.25">
      <c r="AO49" s="210" t="s">
        <v>315</v>
      </c>
      <c r="AP49" s="5"/>
      <c r="AQ49" s="299">
        <f>AO9*0.003</f>
        <v>315.17012196000007</v>
      </c>
      <c r="AR49" s="211"/>
      <c r="AS49" s="211"/>
    </row>
    <row r="50" spans="4:45" x14ac:dyDescent="0.25">
      <c r="AO50" s="210" t="s">
        <v>316</v>
      </c>
      <c r="AP50" s="5"/>
      <c r="AQ50" s="299">
        <f>'County Retirement'!G16</f>
        <v>10650.852137024</v>
      </c>
      <c r="AR50" s="211"/>
      <c r="AS50" s="211"/>
    </row>
    <row r="51" spans="4:45" x14ac:dyDescent="0.25">
      <c r="AO51" s="210" t="s">
        <v>317</v>
      </c>
      <c r="AP51" s="5"/>
      <c r="AQ51" s="300" t="s">
        <v>1093</v>
      </c>
      <c r="AR51" s="211"/>
      <c r="AS51" s="211"/>
    </row>
    <row r="52" spans="4:45" x14ac:dyDescent="0.25">
      <c r="AO52" s="235"/>
      <c r="AP52" s="237"/>
      <c r="AQ52" s="301">
        <f>SUM(AQ47:AQ51)</f>
        <v>12583.895551711999</v>
      </c>
      <c r="AR52" s="211"/>
      <c r="AS52" s="211"/>
    </row>
    <row r="53" spans="4:45" x14ac:dyDescent="0.25">
      <c r="D53" s="120"/>
      <c r="H53" s="120"/>
      <c r="L53" s="120"/>
      <c r="P53" s="120"/>
      <c r="T53" s="120"/>
      <c r="X53" s="120"/>
      <c r="AB53" s="120"/>
      <c r="AF53" s="120"/>
      <c r="AG53" s="120"/>
      <c r="AK53" s="403"/>
      <c r="AO53" s="408">
        <f>-AO8-177.93</f>
        <v>-17970.822000000004</v>
      </c>
      <c r="AP53" s="399" t="s">
        <v>1447</v>
      </c>
      <c r="AQ53" s="211"/>
      <c r="AR53" s="211"/>
      <c r="AS53" s="211"/>
    </row>
    <row r="54" spans="4:45" x14ac:dyDescent="0.25">
      <c r="D54" s="120"/>
      <c r="H54" s="120"/>
      <c r="L54" s="120"/>
      <c r="P54" s="120"/>
      <c r="T54" s="120"/>
      <c r="X54" s="120"/>
      <c r="AB54" s="120"/>
      <c r="AF54" s="120"/>
      <c r="AG54" s="120"/>
      <c r="AK54" s="403"/>
      <c r="AO54" s="131"/>
      <c r="AP54" s="131"/>
      <c r="AQ54" s="211"/>
      <c r="AR54" s="211"/>
      <c r="AS54" s="211"/>
    </row>
    <row r="55" spans="4:45" x14ac:dyDescent="0.25">
      <c r="D55" s="120"/>
      <c r="H55" s="120"/>
      <c r="L55" s="120"/>
      <c r="P55" s="120"/>
      <c r="T55" s="120"/>
      <c r="X55" s="120"/>
      <c r="AB55" s="120"/>
      <c r="AF55" s="120"/>
      <c r="AG55" s="120"/>
      <c r="AK55" s="403"/>
      <c r="AO55" s="131"/>
      <c r="AP55" s="131"/>
      <c r="AQ55" s="211"/>
      <c r="AR55" s="211"/>
      <c r="AS55" s="211"/>
    </row>
    <row r="56" spans="4:45" x14ac:dyDescent="0.25">
      <c r="D56" s="120"/>
      <c r="H56" s="120"/>
      <c r="L56" s="120"/>
      <c r="P56" s="120"/>
      <c r="T56" s="120"/>
      <c r="X56" s="120"/>
      <c r="AB56" s="120"/>
      <c r="AF56" s="120"/>
      <c r="AG56" s="120"/>
      <c r="AK56" s="403"/>
    </row>
    <row r="57" spans="4:45" x14ac:dyDescent="0.25">
      <c r="D57" s="120"/>
      <c r="H57" s="120"/>
      <c r="L57" s="120"/>
      <c r="P57" s="120"/>
      <c r="T57" s="120"/>
      <c r="X57" s="120"/>
      <c r="AB57" s="120"/>
      <c r="AF57" s="120"/>
      <c r="AG57" s="120"/>
      <c r="AK57" s="403"/>
    </row>
    <row r="58" spans="4:45" x14ac:dyDescent="0.25">
      <c r="D58" s="120"/>
      <c r="H58" s="120"/>
      <c r="L58" s="120"/>
      <c r="P58" s="120"/>
      <c r="T58" s="120"/>
      <c r="X58" s="120"/>
      <c r="AB58" s="120"/>
      <c r="AF58" s="120"/>
      <c r="AG58" s="120"/>
      <c r="AK58" s="403"/>
    </row>
    <row r="59" spans="4:45" x14ac:dyDescent="0.25">
      <c r="D59" s="120"/>
      <c r="H59" s="120"/>
      <c r="L59" s="120"/>
      <c r="P59" s="120"/>
      <c r="T59" s="120"/>
      <c r="X59" s="120"/>
      <c r="AB59" s="120"/>
      <c r="AF59" s="120"/>
      <c r="AG59" s="120"/>
      <c r="AK59" s="403"/>
    </row>
    <row r="60" spans="4:45" x14ac:dyDescent="0.25">
      <c r="D60" s="120"/>
      <c r="H60" s="120"/>
      <c r="L60" s="120"/>
      <c r="P60" s="120"/>
      <c r="T60" s="120"/>
      <c r="X60" s="120"/>
      <c r="AB60" s="120"/>
      <c r="AF60" s="120"/>
      <c r="AG60" s="120"/>
      <c r="AK60" s="403"/>
    </row>
    <row r="61" spans="4:45" x14ac:dyDescent="0.25">
      <c r="D61" s="120"/>
      <c r="H61" s="120"/>
      <c r="L61" s="120"/>
      <c r="P61" s="120"/>
      <c r="T61" s="120"/>
      <c r="X61" s="120"/>
      <c r="AB61" s="120"/>
      <c r="AF61" s="120"/>
      <c r="AG61" s="120"/>
      <c r="AK61" s="403"/>
    </row>
    <row r="62" spans="4:45" x14ac:dyDescent="0.25">
      <c r="D62" s="120"/>
      <c r="H62" s="120"/>
      <c r="L62" s="120"/>
      <c r="P62" s="120"/>
      <c r="T62" s="120"/>
      <c r="X62" s="120"/>
      <c r="AB62" s="120"/>
      <c r="AF62" s="120"/>
      <c r="AG62" s="120"/>
      <c r="AK62" s="403"/>
    </row>
    <row r="63" spans="4:45" x14ac:dyDescent="0.25">
      <c r="D63" s="120"/>
      <c r="H63" s="120"/>
      <c r="L63" s="120"/>
      <c r="P63" s="120"/>
      <c r="T63" s="120"/>
      <c r="X63" s="120"/>
      <c r="AB63" s="120"/>
      <c r="AF63" s="120"/>
      <c r="AG63" s="120"/>
      <c r="AK63" s="403"/>
    </row>
    <row r="64" spans="4:45"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403" t="s">
        <v>1511</v>
      </c>
      <c r="E123" s="211">
        <v>30.35</v>
      </c>
      <c r="F123" s="211">
        <v>25</v>
      </c>
      <c r="G123" s="397"/>
      <c r="H123" s="403"/>
      <c r="I123" s="394"/>
      <c r="J123" s="394"/>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row r="388" spans="4:37" x14ac:dyDescent="0.25">
      <c r="D388" s="120"/>
      <c r="H388" s="120"/>
      <c r="L388" s="120"/>
      <c r="P388" s="120"/>
      <c r="T388" s="120"/>
      <c r="X388" s="120"/>
      <c r="AB388" s="120"/>
      <c r="AF388" s="120"/>
      <c r="AG388" s="120"/>
      <c r="AK388" s="403"/>
    </row>
    <row r="389" spans="4:37" x14ac:dyDescent="0.25">
      <c r="D389" s="120"/>
      <c r="H389" s="120"/>
      <c r="L389" s="120"/>
      <c r="P389" s="120"/>
      <c r="T389" s="120"/>
      <c r="X389" s="120"/>
      <c r="AB389" s="120"/>
      <c r="AF389" s="120"/>
      <c r="AG389" s="120"/>
      <c r="AK389" s="403"/>
    </row>
    <row r="390" spans="4:37" x14ac:dyDescent="0.25">
      <c r="D390" s="120"/>
      <c r="H390" s="120"/>
      <c r="L390" s="120"/>
      <c r="P390" s="120"/>
      <c r="T390" s="120"/>
      <c r="X390" s="120"/>
      <c r="AB390" s="120"/>
      <c r="AF390" s="120"/>
      <c r="AG390" s="120"/>
      <c r="AK390" s="403"/>
    </row>
    <row r="391" spans="4:37" x14ac:dyDescent="0.25">
      <c r="D391" s="120"/>
      <c r="H391" s="120"/>
      <c r="L391" s="120"/>
      <c r="P391" s="120"/>
      <c r="T391" s="120"/>
      <c r="X391" s="120"/>
      <c r="AB391" s="120"/>
      <c r="AF391" s="120"/>
      <c r="AG391" s="120"/>
      <c r="AK391" s="403"/>
    </row>
    <row r="392" spans="4:37" x14ac:dyDescent="0.25">
      <c r="D392" s="120"/>
      <c r="H392" s="120"/>
      <c r="L392" s="120"/>
      <c r="P392" s="120"/>
      <c r="T392" s="120"/>
      <c r="X392" s="120"/>
      <c r="AB392" s="120"/>
      <c r="AF392" s="120"/>
      <c r="AG392" s="120"/>
      <c r="AK392" s="403"/>
    </row>
    <row r="393" spans="4:37" x14ac:dyDescent="0.25">
      <c r="D393" s="120"/>
      <c r="H393" s="120"/>
      <c r="L393" s="120"/>
      <c r="P393" s="120"/>
      <c r="T393" s="120"/>
      <c r="X393" s="120"/>
      <c r="AB393" s="120"/>
      <c r="AF393" s="120"/>
      <c r="AG393" s="120"/>
      <c r="AK393" s="403"/>
    </row>
    <row r="394" spans="4:37" x14ac:dyDescent="0.25">
      <c r="D394" s="120"/>
      <c r="H394" s="120"/>
      <c r="L394" s="120"/>
      <c r="P394" s="120"/>
      <c r="T394" s="120"/>
      <c r="X394" s="120"/>
      <c r="AB394" s="120"/>
      <c r="AF394" s="120"/>
      <c r="AG394" s="120"/>
      <c r="AK394" s="403"/>
    </row>
    <row r="395" spans="4:37" x14ac:dyDescent="0.25">
      <c r="D395" s="120"/>
      <c r="H395" s="120"/>
      <c r="L395" s="120"/>
      <c r="P395" s="120"/>
      <c r="T395" s="120"/>
      <c r="X395" s="120"/>
      <c r="AB395" s="120"/>
      <c r="AF395" s="120"/>
      <c r="AG395" s="120"/>
      <c r="AK395" s="403"/>
    </row>
    <row r="396" spans="4:37" x14ac:dyDescent="0.25">
      <c r="D396" s="120"/>
      <c r="H396" s="120"/>
      <c r="L396" s="120"/>
      <c r="P396" s="120"/>
      <c r="T396" s="120"/>
      <c r="X396" s="120"/>
      <c r="AB396" s="120"/>
      <c r="AF396" s="120"/>
      <c r="AG396" s="120"/>
      <c r="AK396" s="403"/>
    </row>
    <row r="397" spans="4:37" x14ac:dyDescent="0.25">
      <c r="D397" s="120"/>
      <c r="H397" s="120"/>
      <c r="L397" s="120"/>
      <c r="P397" s="120"/>
      <c r="T397" s="120"/>
      <c r="X397" s="120"/>
      <c r="AB397" s="120"/>
      <c r="AF397" s="120"/>
      <c r="AG397" s="120"/>
      <c r="AK397" s="403"/>
    </row>
    <row r="398" spans="4:37" x14ac:dyDescent="0.25">
      <c r="D398" s="120"/>
      <c r="H398" s="120"/>
      <c r="L398" s="120"/>
      <c r="P398" s="120"/>
      <c r="T398" s="120"/>
      <c r="X398" s="120"/>
      <c r="AB398" s="120"/>
      <c r="AF398" s="120"/>
      <c r="AG398" s="120"/>
      <c r="AK398" s="403"/>
    </row>
  </sheetData>
  <mergeCells count="10">
    <mergeCell ref="D3:F3"/>
    <mergeCell ref="T3:V3"/>
    <mergeCell ref="X3:Z3"/>
    <mergeCell ref="AB3:AD3"/>
    <mergeCell ref="AO3:AR3"/>
    <mergeCell ref="AF3:AI3"/>
    <mergeCell ref="P3:R3"/>
    <mergeCell ref="H3:J3"/>
    <mergeCell ref="L3:N3"/>
    <mergeCell ref="AK3:AN3"/>
  </mergeCells>
  <pageMargins left="0.75" right="0.75" top="1" bottom="1" header="0.5" footer="0.5"/>
  <pageSetup paperSize="5" scale="66" orientation="landscape" copies="15" r:id="rId1"/>
  <headerFooter alignWithMargins="0">
    <oddHeader>&amp;C&amp;"-,Bold"Proposed Budget &amp; Analysis Report for FY20</oddHeader>
    <oddFooter>&amp;C&amp;D&amp;T&amp;R&amp;A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3:AR378"/>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2.85546875" style="161" customWidth="1"/>
    <col min="4" max="5" width="11.42578125" style="211" hidden="1" customWidth="1"/>
    <col min="6" max="6" width="6" style="211" hidden="1" customWidth="1"/>
    <col min="7" max="7" width="2.140625" style="213" hidden="1" customWidth="1"/>
    <col min="8" max="9" width="11.42578125" style="211" hidden="1" customWidth="1"/>
    <col min="10" max="10" width="8.28515625" style="211" hidden="1" customWidth="1"/>
    <col min="11" max="11" width="2.140625" style="213" hidden="1" customWidth="1"/>
    <col min="12" max="13" width="11.42578125" style="211" hidden="1" customWidth="1"/>
    <col min="14" max="14" width="7.7109375" style="211" hidden="1" customWidth="1"/>
    <col min="15" max="15" width="2.140625" style="213" hidden="1" customWidth="1"/>
    <col min="16" max="17" width="11.42578125" style="211" hidden="1" customWidth="1"/>
    <col min="18" max="18" width="7.7109375" style="211" hidden="1" customWidth="1"/>
    <col min="19" max="19" width="2.140625" style="213" hidden="1" customWidth="1"/>
    <col min="20" max="21" width="11.42578125" style="161" hidden="1" customWidth="1"/>
    <col min="22" max="22" width="7.7109375" style="161" hidden="1" customWidth="1"/>
    <col min="23" max="23" width="2.140625" style="103" hidden="1" customWidth="1"/>
    <col min="24" max="24" width="10.7109375" style="161" hidden="1" customWidth="1"/>
    <col min="25" max="25" width="10.5703125" style="161" hidden="1" customWidth="1"/>
    <col min="26" max="26" width="8.28515625" style="161" hidden="1" customWidth="1"/>
    <col min="27" max="27" width="2.140625" style="103" hidden="1" customWidth="1"/>
    <col min="28" max="28" width="10.7109375" style="161" customWidth="1"/>
    <col min="29" max="29" width="11.5703125" style="161" customWidth="1"/>
    <col min="30" max="30" width="8.85546875" style="161" bestFit="1" customWidth="1"/>
    <col min="31" max="31" width="2.140625" style="213" customWidth="1"/>
    <col min="32" max="32" width="10.7109375" style="211" hidden="1" customWidth="1"/>
    <col min="33" max="33" width="10.7109375" style="211" customWidth="1"/>
    <col min="34" max="34" width="11.5703125" style="211" customWidth="1"/>
    <col min="35" max="35" width="8.85546875" style="211" bestFit="1" customWidth="1"/>
    <col min="36" max="36" width="1.85546875" style="161" customWidth="1"/>
    <col min="37" max="37" width="10.7109375" style="394" customWidth="1"/>
    <col min="38" max="38" width="11.5703125" style="394" customWidth="1"/>
    <col min="39" max="39" width="8.85546875" style="394" bestFit="1" customWidth="1"/>
    <col min="40" max="40" width="1.85546875" style="394" customWidth="1"/>
    <col min="41" max="41" width="13.5703125" style="104" customWidth="1"/>
    <col min="42" max="42" width="11.7109375" style="104" customWidth="1"/>
    <col min="43" max="43" width="9.5703125" style="161" bestFit="1" customWidth="1"/>
    <col min="44" max="44" width="23.140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8"/>
      <c r="AN3" s="809"/>
      <c r="AO3" s="805" t="s">
        <v>1593</v>
      </c>
      <c r="AP3" s="805"/>
      <c r="AQ3" s="805"/>
      <c r="AR3" s="805"/>
    </row>
    <row r="4" spans="1:44" ht="27" x14ac:dyDescent="0.25">
      <c r="A4" s="271"/>
      <c r="B4" s="271"/>
      <c r="C4" s="308" t="s">
        <v>1679</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N4" s="106"/>
      <c r="AO4" s="107" t="s">
        <v>274</v>
      </c>
      <c r="AP4" s="108" t="s">
        <v>107</v>
      </c>
      <c r="AQ4" s="109" t="s">
        <v>28</v>
      </c>
      <c r="AR4" s="110" t="s">
        <v>275</v>
      </c>
    </row>
    <row r="5" spans="1:44" x14ac:dyDescent="0.25">
      <c r="C5" s="111" t="s">
        <v>276</v>
      </c>
      <c r="AO5" s="103"/>
      <c r="AP5" s="103"/>
      <c r="AR5" s="111"/>
    </row>
    <row r="6" spans="1:44" x14ac:dyDescent="0.25">
      <c r="A6" s="111" t="s">
        <v>272</v>
      </c>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80"/>
      <c r="AK6" s="399"/>
      <c r="AL6" s="112"/>
      <c r="AM6" s="396"/>
      <c r="AN6" s="396"/>
      <c r="AQ6" s="80"/>
      <c r="AR6" s="216"/>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f>SUM(AF6)</f>
        <v>0</v>
      </c>
      <c r="AG7" s="227">
        <f>SUM(AG6)</f>
        <v>0</v>
      </c>
      <c r="AH7" s="225">
        <f>SUM(AH6:AH6)</f>
        <v>0</v>
      </c>
      <c r="AI7" s="226"/>
      <c r="AJ7" s="226"/>
      <c r="AK7" s="227">
        <f>SUM(AK6)</f>
        <v>0</v>
      </c>
      <c r="AL7" s="225">
        <f>SUM(AL6:AL6)</f>
        <v>0</v>
      </c>
      <c r="AM7" s="226"/>
      <c r="AN7" s="226"/>
      <c r="AO7" s="227">
        <f>SUM(AO6)</f>
        <v>0</v>
      </c>
      <c r="AP7" s="227">
        <f>SUM(AP6)</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399"/>
      <c r="AL8" s="112"/>
      <c r="AM8" s="396"/>
      <c r="AN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399"/>
      <c r="AL9" s="112"/>
      <c r="AM9" s="396"/>
      <c r="AN9" s="396"/>
      <c r="AQ9" s="80"/>
      <c r="AR9" s="111"/>
    </row>
    <row r="10" spans="1:44" x14ac:dyDescent="0.25">
      <c r="A10" s="161" t="s">
        <v>464</v>
      </c>
      <c r="B10" s="119" t="str">
        <f t="shared" ref="B10:B26" si="0">MID(A10,14,4)</f>
        <v>5210</v>
      </c>
      <c r="C10" s="161" t="s">
        <v>1626</v>
      </c>
      <c r="D10" s="112">
        <v>2500</v>
      </c>
      <c r="E10" s="112">
        <v>2174.84</v>
      </c>
      <c r="F10" s="216"/>
      <c r="H10" s="112">
        <v>2500</v>
      </c>
      <c r="I10" s="112">
        <v>1881.85</v>
      </c>
      <c r="J10" s="216">
        <f>(H10-D10)/D10</f>
        <v>0</v>
      </c>
      <c r="L10" s="112">
        <v>2500</v>
      </c>
      <c r="M10" s="112">
        <v>1549.41</v>
      </c>
      <c r="N10" s="396">
        <f>(L10-H10)/H10</f>
        <v>0</v>
      </c>
      <c r="P10" s="112">
        <v>2500</v>
      </c>
      <c r="Q10" s="112">
        <v>1861.85</v>
      </c>
      <c r="R10" s="396">
        <f>(P10-L10)/L10</f>
        <v>0</v>
      </c>
      <c r="T10" s="112">
        <v>2500</v>
      </c>
      <c r="U10" s="112">
        <v>1273.82</v>
      </c>
      <c r="V10" s="396">
        <f>(T10-P10)/P10</f>
        <v>0</v>
      </c>
      <c r="W10" s="213"/>
      <c r="X10" s="112">
        <v>2200</v>
      </c>
      <c r="Y10" s="112">
        <v>0</v>
      </c>
      <c r="Z10" s="396">
        <f>(X10-T10)/T10</f>
        <v>-0.12</v>
      </c>
      <c r="AA10" s="213"/>
      <c r="AB10" s="112">
        <v>2200</v>
      </c>
      <c r="AC10" s="112">
        <v>0</v>
      </c>
      <c r="AD10" s="396">
        <f>(AB10-X10)/X10</f>
        <v>0</v>
      </c>
      <c r="AF10" s="112">
        <v>2200</v>
      </c>
      <c r="AG10" s="112">
        <v>2200</v>
      </c>
      <c r="AH10" s="112">
        <v>0</v>
      </c>
      <c r="AI10" s="216">
        <f>(AG10-AB10)/AB10</f>
        <v>0</v>
      </c>
      <c r="AJ10" s="80"/>
      <c r="AK10" s="112">
        <v>2200</v>
      </c>
      <c r="AL10" s="112">
        <v>0</v>
      </c>
      <c r="AM10" s="396">
        <f>(AK10-AG10)/AG10</f>
        <v>0</v>
      </c>
      <c r="AN10" s="396"/>
      <c r="AO10" s="163">
        <v>2200</v>
      </c>
      <c r="AP10" s="104">
        <f>AO10-AK10</f>
        <v>0</v>
      </c>
      <c r="AQ10" s="396">
        <f>AP10/AK10</f>
        <v>0</v>
      </c>
      <c r="AR10" s="166"/>
    </row>
    <row r="11" spans="1:44" x14ac:dyDescent="0.25">
      <c r="A11" s="161" t="s">
        <v>465</v>
      </c>
      <c r="B11" s="119" t="str">
        <f t="shared" si="0"/>
        <v>5211</v>
      </c>
      <c r="C11" s="161" t="s">
        <v>1628</v>
      </c>
      <c r="D11" s="112">
        <v>4069.96</v>
      </c>
      <c r="E11" s="112">
        <v>4847.79</v>
      </c>
      <c r="F11" s="216"/>
      <c r="H11" s="112">
        <v>3000</v>
      </c>
      <c r="I11" s="112">
        <v>3913.93</v>
      </c>
      <c r="J11" s="396">
        <f>(H11-D11)/D11</f>
        <v>-0.26289201859477734</v>
      </c>
      <c r="L11" s="112">
        <v>4000</v>
      </c>
      <c r="M11" s="112">
        <v>4886.75</v>
      </c>
      <c r="N11" s="396">
        <f>(L11-H11)/H11</f>
        <v>0.33333333333333331</v>
      </c>
      <c r="P11" s="112">
        <v>4000</v>
      </c>
      <c r="Q11" s="112">
        <v>4701.33</v>
      </c>
      <c r="R11" s="396">
        <f>(P11-L11)/L11</f>
        <v>0</v>
      </c>
      <c r="T11" s="112">
        <v>4500</v>
      </c>
      <c r="U11" s="112">
        <v>4520.1499999999996</v>
      </c>
      <c r="V11" s="396">
        <f>(T11-P11)/P11</f>
        <v>0.125</v>
      </c>
      <c r="W11" s="213"/>
      <c r="X11" s="112">
        <v>4500</v>
      </c>
      <c r="Y11" s="112">
        <v>1941.93</v>
      </c>
      <c r="Z11" s="396">
        <f>(X11-T11)/T11</f>
        <v>0</v>
      </c>
      <c r="AA11" s="213"/>
      <c r="AB11" s="112">
        <v>4500</v>
      </c>
      <c r="AC11" s="112">
        <v>2499.31</v>
      </c>
      <c r="AD11" s="396">
        <f>(AB11-X11)/X11</f>
        <v>0</v>
      </c>
      <c r="AF11" s="112">
        <v>4500</v>
      </c>
      <c r="AG11" s="112">
        <v>4500</v>
      </c>
      <c r="AH11" s="112">
        <v>4837.3999999999996</v>
      </c>
      <c r="AI11" s="216">
        <f t="shared" ref="AI11:AI28" si="1">(AG11-AB11)/AB11</f>
        <v>0</v>
      </c>
      <c r="AJ11" s="80"/>
      <c r="AK11" s="112">
        <v>4500</v>
      </c>
      <c r="AL11" s="112">
        <v>834.34</v>
      </c>
      <c r="AM11" s="396">
        <f t="shared" ref="AM11:AM30" si="2">(AK11-AG11)/AG11</f>
        <v>0</v>
      </c>
      <c r="AN11" s="396"/>
      <c r="AO11" s="163">
        <v>4500</v>
      </c>
      <c r="AP11" s="399">
        <f t="shared" ref="AP11:AP27" si="3">AO11-AK11</f>
        <v>0</v>
      </c>
      <c r="AQ11" s="396">
        <f t="shared" ref="AQ11:AQ30" si="4">AP11/AK11</f>
        <v>0</v>
      </c>
      <c r="AR11" s="166"/>
    </row>
    <row r="12" spans="1:44" x14ac:dyDescent="0.25">
      <c r="A12" s="161" t="s">
        <v>466</v>
      </c>
      <c r="B12" s="119" t="str">
        <f t="shared" si="0"/>
        <v>5241</v>
      </c>
      <c r="C12" s="161" t="s">
        <v>1630</v>
      </c>
      <c r="D12" s="112">
        <v>8000</v>
      </c>
      <c r="E12" s="112">
        <v>8492.73</v>
      </c>
      <c r="F12" s="216"/>
      <c r="H12" s="112">
        <v>8000</v>
      </c>
      <c r="I12" s="112">
        <v>7258.06</v>
      </c>
      <c r="J12" s="396">
        <f t="shared" ref="J12:J30" si="5">(H12-D12)/D12</f>
        <v>0</v>
      </c>
      <c r="L12" s="112">
        <v>8000</v>
      </c>
      <c r="M12" s="112">
        <v>7938.38</v>
      </c>
      <c r="N12" s="396">
        <f t="shared" ref="N12:N30" si="6">(L12-H12)/H12</f>
        <v>0</v>
      </c>
      <c r="P12" s="112">
        <v>8000</v>
      </c>
      <c r="Q12" s="112">
        <v>5777.47</v>
      </c>
      <c r="R12" s="396">
        <f t="shared" ref="R12:R30" si="7">(P12-L12)/L12</f>
        <v>0</v>
      </c>
      <c r="T12" s="112">
        <v>8000</v>
      </c>
      <c r="U12" s="112">
        <v>9378.51</v>
      </c>
      <c r="V12" s="396">
        <f t="shared" ref="V12:V30" si="8">(T12-P12)/P12</f>
        <v>0</v>
      </c>
      <c r="W12" s="213"/>
      <c r="X12" s="112">
        <v>8000</v>
      </c>
      <c r="Y12" s="112">
        <v>11003.3</v>
      </c>
      <c r="Z12" s="396">
        <f t="shared" ref="Z12:Z30" si="9">(X12-T12)/T12</f>
        <v>0</v>
      </c>
      <c r="AA12" s="213"/>
      <c r="AB12" s="112">
        <v>8000</v>
      </c>
      <c r="AC12" s="112">
        <v>11747.92</v>
      </c>
      <c r="AD12" s="396">
        <f t="shared" ref="AD12:AD30" si="10">(AB12-X12)/X12</f>
        <v>0</v>
      </c>
      <c r="AF12" s="112">
        <v>8000</v>
      </c>
      <c r="AG12" s="112">
        <v>8000</v>
      </c>
      <c r="AH12" s="112">
        <v>9340.49</v>
      </c>
      <c r="AI12" s="216">
        <f t="shared" si="1"/>
        <v>0</v>
      </c>
      <c r="AJ12" s="80"/>
      <c r="AK12" s="112">
        <v>9000</v>
      </c>
      <c r="AL12" s="112">
        <v>3825.88</v>
      </c>
      <c r="AM12" s="396">
        <f t="shared" si="2"/>
        <v>0.125</v>
      </c>
      <c r="AN12" s="396"/>
      <c r="AO12" s="163">
        <v>9000</v>
      </c>
      <c r="AP12" s="399">
        <f t="shared" si="3"/>
        <v>0</v>
      </c>
      <c r="AQ12" s="396">
        <f t="shared" si="4"/>
        <v>0</v>
      </c>
      <c r="AR12" s="400" t="s">
        <v>1425</v>
      </c>
    </row>
    <row r="13" spans="1:44" s="394" customFormat="1" x14ac:dyDescent="0.25">
      <c r="A13" s="395" t="s">
        <v>1486</v>
      </c>
      <c r="B13" s="395" t="str">
        <f>MID(A13,14,4)</f>
        <v>5242</v>
      </c>
      <c r="C13" s="394" t="s">
        <v>1487</v>
      </c>
      <c r="D13" s="112">
        <v>0</v>
      </c>
      <c r="E13" s="112">
        <v>0</v>
      </c>
      <c r="F13" s="396"/>
      <c r="G13" s="397"/>
      <c r="H13" s="112">
        <v>0</v>
      </c>
      <c r="I13" s="112">
        <v>0</v>
      </c>
      <c r="J13" s="396" t="e">
        <f t="shared" si="5"/>
        <v>#DIV/0!</v>
      </c>
      <c r="K13" s="397"/>
      <c r="L13" s="112">
        <v>0</v>
      </c>
      <c r="M13" s="112">
        <v>0</v>
      </c>
      <c r="N13" s="396" t="e">
        <f t="shared" si="6"/>
        <v>#DIV/0!</v>
      </c>
      <c r="O13" s="397"/>
      <c r="P13" s="112">
        <v>0</v>
      </c>
      <c r="Q13" s="112">
        <v>0</v>
      </c>
      <c r="R13" s="396" t="e">
        <f t="shared" si="7"/>
        <v>#DIV/0!</v>
      </c>
      <c r="S13" s="397"/>
      <c r="T13" s="112">
        <v>0</v>
      </c>
      <c r="U13" s="112">
        <v>0</v>
      </c>
      <c r="V13" s="396" t="e">
        <f t="shared" si="8"/>
        <v>#DIV/0!</v>
      </c>
      <c r="W13" s="397"/>
      <c r="X13" s="112">
        <v>0</v>
      </c>
      <c r="Y13" s="112">
        <v>0</v>
      </c>
      <c r="Z13" s="396" t="e">
        <f t="shared" si="9"/>
        <v>#DIV/0!</v>
      </c>
      <c r="AA13" s="397"/>
      <c r="AB13" s="112"/>
      <c r="AC13" s="112"/>
      <c r="AD13" s="396"/>
      <c r="AE13" s="397"/>
      <c r="AF13" s="112"/>
      <c r="AG13" s="112"/>
      <c r="AH13" s="112">
        <v>147.33000000000001</v>
      </c>
      <c r="AI13" s="396"/>
      <c r="AJ13" s="396"/>
      <c r="AK13" s="112"/>
      <c r="AL13" s="112">
        <v>450</v>
      </c>
      <c r="AM13" s="396"/>
      <c r="AN13" s="396"/>
      <c r="AO13" s="163">
        <v>500</v>
      </c>
      <c r="AP13" s="399">
        <f t="shared" si="3"/>
        <v>500</v>
      </c>
      <c r="AQ13" s="396"/>
      <c r="AR13" s="400"/>
    </row>
    <row r="14" spans="1:44" x14ac:dyDescent="0.25">
      <c r="A14" s="161" t="s">
        <v>467</v>
      </c>
      <c r="B14" s="119" t="str">
        <f t="shared" si="0"/>
        <v>5245</v>
      </c>
      <c r="C14" s="161" t="s">
        <v>1633</v>
      </c>
      <c r="D14" s="112">
        <v>1000</v>
      </c>
      <c r="E14" s="112">
        <v>1009.11</v>
      </c>
      <c r="F14" s="216"/>
      <c r="H14" s="112">
        <v>1000</v>
      </c>
      <c r="I14" s="112">
        <v>1342.24</v>
      </c>
      <c r="J14" s="396">
        <f t="shared" si="5"/>
        <v>0</v>
      </c>
      <c r="L14" s="112">
        <v>1000</v>
      </c>
      <c r="M14" s="112">
        <v>1197.29</v>
      </c>
      <c r="N14" s="396">
        <f t="shared" si="6"/>
        <v>0</v>
      </c>
      <c r="P14" s="112">
        <v>1000</v>
      </c>
      <c r="Q14" s="112">
        <v>3028.84</v>
      </c>
      <c r="R14" s="396">
        <f t="shared" si="7"/>
        <v>0</v>
      </c>
      <c r="T14" s="112">
        <v>1000</v>
      </c>
      <c r="U14" s="112">
        <v>1087.73</v>
      </c>
      <c r="V14" s="396">
        <f t="shared" si="8"/>
        <v>0</v>
      </c>
      <c r="W14" s="213"/>
      <c r="X14" s="112">
        <v>1000</v>
      </c>
      <c r="Y14" s="112">
        <v>472.9</v>
      </c>
      <c r="Z14" s="396">
        <f t="shared" si="9"/>
        <v>0</v>
      </c>
      <c r="AA14" s="213"/>
      <c r="AB14" s="112">
        <v>1000</v>
      </c>
      <c r="AC14" s="112">
        <v>955.96</v>
      </c>
      <c r="AD14" s="396">
        <f t="shared" si="10"/>
        <v>0</v>
      </c>
      <c r="AF14" s="112">
        <v>1000</v>
      </c>
      <c r="AG14" s="112">
        <v>1000</v>
      </c>
      <c r="AH14" s="112">
        <v>144.97999999999999</v>
      </c>
      <c r="AI14" s="216">
        <f t="shared" si="1"/>
        <v>0</v>
      </c>
      <c r="AJ14" s="80"/>
      <c r="AK14" s="112">
        <v>1000</v>
      </c>
      <c r="AL14" s="112">
        <v>0</v>
      </c>
      <c r="AM14" s="396">
        <f t="shared" si="2"/>
        <v>0</v>
      </c>
      <c r="AN14" s="396"/>
      <c r="AO14" s="163">
        <v>1000</v>
      </c>
      <c r="AP14" s="399">
        <f t="shared" si="3"/>
        <v>0</v>
      </c>
      <c r="AQ14" s="396">
        <f t="shared" si="4"/>
        <v>0</v>
      </c>
      <c r="AR14" s="400"/>
    </row>
    <row r="15" spans="1:44" s="211" customFormat="1" x14ac:dyDescent="0.25">
      <c r="A15" s="214" t="s">
        <v>1121</v>
      </c>
      <c r="B15" s="214" t="str">
        <f>MID(A15,14,4)</f>
        <v>5293</v>
      </c>
      <c r="C15" s="211" t="s">
        <v>1497</v>
      </c>
      <c r="D15" s="112">
        <v>0</v>
      </c>
      <c r="E15" s="112">
        <v>0</v>
      </c>
      <c r="F15" s="216"/>
      <c r="G15" s="213"/>
      <c r="H15" s="112">
        <v>0</v>
      </c>
      <c r="I15" s="112">
        <v>0</v>
      </c>
      <c r="J15" s="396" t="e">
        <f t="shared" si="5"/>
        <v>#DIV/0!</v>
      </c>
      <c r="K15" s="213"/>
      <c r="L15" s="112">
        <v>0</v>
      </c>
      <c r="M15" s="112">
        <v>0</v>
      </c>
      <c r="N15" s="396" t="e">
        <f t="shared" si="6"/>
        <v>#DIV/0!</v>
      </c>
      <c r="O15" s="213"/>
      <c r="P15" s="112">
        <v>0</v>
      </c>
      <c r="Q15" s="112">
        <v>0</v>
      </c>
      <c r="R15" s="396" t="e">
        <f t="shared" si="7"/>
        <v>#DIV/0!</v>
      </c>
      <c r="S15" s="213"/>
      <c r="T15" s="112">
        <v>0</v>
      </c>
      <c r="U15" s="112">
        <v>268</v>
      </c>
      <c r="V15" s="396" t="e">
        <f t="shared" si="8"/>
        <v>#DIV/0!</v>
      </c>
      <c r="W15" s="213"/>
      <c r="X15" s="112">
        <v>0</v>
      </c>
      <c r="Y15" s="112">
        <v>5</v>
      </c>
      <c r="Z15" s="396" t="e">
        <f t="shared" si="9"/>
        <v>#DIV/0!</v>
      </c>
      <c r="AA15" s="213"/>
      <c r="AB15" s="112">
        <v>0</v>
      </c>
      <c r="AC15" s="112">
        <v>14.24</v>
      </c>
      <c r="AD15" s="396"/>
      <c r="AE15" s="213"/>
      <c r="AF15" s="112"/>
      <c r="AG15" s="112"/>
      <c r="AH15" s="112">
        <v>0</v>
      </c>
      <c r="AI15" s="216"/>
      <c r="AJ15" s="216"/>
      <c r="AK15" s="112"/>
      <c r="AL15" s="112">
        <v>7.76</v>
      </c>
      <c r="AM15" s="396"/>
      <c r="AN15" s="396"/>
      <c r="AO15" s="163">
        <v>50</v>
      </c>
      <c r="AP15" s="399">
        <f t="shared" si="3"/>
        <v>50</v>
      </c>
      <c r="AQ15" s="396"/>
      <c r="AR15" s="246"/>
    </row>
    <row r="16" spans="1:44" s="211" customFormat="1" x14ac:dyDescent="0.25">
      <c r="A16" s="211" t="s">
        <v>468</v>
      </c>
      <c r="B16" s="214" t="str">
        <f t="shared" si="0"/>
        <v>5295</v>
      </c>
      <c r="C16" s="211" t="s">
        <v>1672</v>
      </c>
      <c r="D16" s="112">
        <v>800</v>
      </c>
      <c r="E16" s="112">
        <v>819.54</v>
      </c>
      <c r="F16" s="216"/>
      <c r="G16" s="213"/>
      <c r="H16" s="112">
        <v>800</v>
      </c>
      <c r="I16" s="112">
        <v>0</v>
      </c>
      <c r="J16" s="396">
        <f t="shared" si="5"/>
        <v>0</v>
      </c>
      <c r="K16" s="213"/>
      <c r="L16" s="112">
        <v>800</v>
      </c>
      <c r="M16" s="112">
        <v>904.59</v>
      </c>
      <c r="N16" s="396">
        <f t="shared" si="6"/>
        <v>0</v>
      </c>
      <c r="O16" s="213"/>
      <c r="P16" s="112">
        <v>800</v>
      </c>
      <c r="Q16" s="112">
        <v>0</v>
      </c>
      <c r="R16" s="396">
        <f t="shared" si="7"/>
        <v>0</v>
      </c>
      <c r="S16" s="213"/>
      <c r="T16" s="112">
        <v>900</v>
      </c>
      <c r="U16" s="112">
        <v>1896</v>
      </c>
      <c r="V16" s="396">
        <f t="shared" si="8"/>
        <v>0.125</v>
      </c>
      <c r="W16" s="213"/>
      <c r="X16" s="112">
        <v>900</v>
      </c>
      <c r="Y16" s="112">
        <v>960</v>
      </c>
      <c r="Z16" s="396">
        <f t="shared" si="9"/>
        <v>0</v>
      </c>
      <c r="AA16" s="213"/>
      <c r="AB16" s="112">
        <v>1000</v>
      </c>
      <c r="AC16" s="112">
        <v>1072.5</v>
      </c>
      <c r="AD16" s="396">
        <f t="shared" si="10"/>
        <v>0.1111111111111111</v>
      </c>
      <c r="AE16" s="213"/>
      <c r="AF16" s="112">
        <v>1150</v>
      </c>
      <c r="AG16" s="112">
        <v>1150</v>
      </c>
      <c r="AH16" s="112">
        <v>1025</v>
      </c>
      <c r="AI16" s="216">
        <f t="shared" si="1"/>
        <v>0.15</v>
      </c>
      <c r="AJ16" s="216"/>
      <c r="AK16" s="112">
        <v>1150</v>
      </c>
      <c r="AL16" s="112">
        <v>0</v>
      </c>
      <c r="AM16" s="396">
        <f t="shared" si="2"/>
        <v>0</v>
      </c>
      <c r="AN16" s="396"/>
      <c r="AO16" s="163">
        <v>1150</v>
      </c>
      <c r="AP16" s="399">
        <f t="shared" si="3"/>
        <v>0</v>
      </c>
      <c r="AQ16" s="396">
        <f t="shared" si="4"/>
        <v>0</v>
      </c>
      <c r="AR16" s="288" t="s">
        <v>1189</v>
      </c>
    </row>
    <row r="17" spans="1:44" s="211" customFormat="1" hidden="1" x14ac:dyDescent="0.25">
      <c r="A17" s="211" t="s">
        <v>1228</v>
      </c>
      <c r="B17" s="214" t="str">
        <f>MID(A17,14,4)</f>
        <v>5306</v>
      </c>
      <c r="C17" s="211" t="s">
        <v>1599</v>
      </c>
      <c r="D17" s="112">
        <v>0</v>
      </c>
      <c r="E17" s="112">
        <v>0</v>
      </c>
      <c r="F17" s="216"/>
      <c r="G17" s="213"/>
      <c r="H17" s="112">
        <v>0</v>
      </c>
      <c r="I17" s="112">
        <v>0</v>
      </c>
      <c r="J17" s="396" t="e">
        <f t="shared" si="5"/>
        <v>#DIV/0!</v>
      </c>
      <c r="K17" s="213"/>
      <c r="L17" s="112">
        <v>0</v>
      </c>
      <c r="M17" s="112">
        <v>0</v>
      </c>
      <c r="N17" s="396" t="e">
        <f t="shared" si="6"/>
        <v>#DIV/0!</v>
      </c>
      <c r="O17" s="213"/>
      <c r="P17" s="112">
        <v>0</v>
      </c>
      <c r="Q17" s="112">
        <v>0</v>
      </c>
      <c r="R17" s="396" t="e">
        <f t="shared" si="7"/>
        <v>#DIV/0!</v>
      </c>
      <c r="S17" s="213"/>
      <c r="T17" s="112">
        <v>0</v>
      </c>
      <c r="U17" s="112">
        <v>0</v>
      </c>
      <c r="V17" s="396" t="e">
        <f t="shared" si="8"/>
        <v>#DIV/0!</v>
      </c>
      <c r="W17" s="213"/>
      <c r="X17" s="112">
        <v>0</v>
      </c>
      <c r="Y17" s="112">
        <v>18.899999999999999</v>
      </c>
      <c r="Z17" s="396" t="e">
        <f t="shared" si="9"/>
        <v>#DIV/0!</v>
      </c>
      <c r="AA17" s="213"/>
      <c r="AB17" s="112">
        <v>0</v>
      </c>
      <c r="AC17" s="112">
        <v>0</v>
      </c>
      <c r="AD17" s="396" t="e">
        <f t="shared" si="10"/>
        <v>#DIV/0!</v>
      </c>
      <c r="AE17" s="213"/>
      <c r="AF17" s="112"/>
      <c r="AG17" s="112"/>
      <c r="AH17" s="112"/>
      <c r="AI17" s="216"/>
      <c r="AJ17" s="216"/>
      <c r="AK17" s="112"/>
      <c r="AL17" s="112"/>
      <c r="AM17" s="396" t="e">
        <f t="shared" si="2"/>
        <v>#DIV/0!</v>
      </c>
      <c r="AN17" s="396"/>
      <c r="AO17" s="163"/>
      <c r="AP17" s="399">
        <f t="shared" si="3"/>
        <v>0</v>
      </c>
      <c r="AQ17" s="396" t="e">
        <f t="shared" si="4"/>
        <v>#DIV/0!</v>
      </c>
      <c r="AR17" s="288"/>
    </row>
    <row r="18" spans="1:44" s="211" customFormat="1" x14ac:dyDescent="0.25">
      <c r="A18" s="211" t="s">
        <v>889</v>
      </c>
      <c r="B18" s="214" t="str">
        <f>MID(A18,14,4)</f>
        <v>5341</v>
      </c>
      <c r="C18" s="211" t="s">
        <v>1640</v>
      </c>
      <c r="D18" s="112">
        <v>0</v>
      </c>
      <c r="E18" s="112">
        <v>0</v>
      </c>
      <c r="F18" s="216"/>
      <c r="G18" s="213"/>
      <c r="H18" s="112">
        <v>0</v>
      </c>
      <c r="I18" s="112">
        <v>116.39</v>
      </c>
      <c r="J18" s="396" t="e">
        <f t="shared" si="5"/>
        <v>#DIV/0!</v>
      </c>
      <c r="K18" s="213"/>
      <c r="L18" s="112">
        <v>0</v>
      </c>
      <c r="M18" s="112">
        <v>557.04</v>
      </c>
      <c r="N18" s="396" t="e">
        <f t="shared" si="6"/>
        <v>#DIV/0!</v>
      </c>
      <c r="O18" s="213"/>
      <c r="P18" s="112">
        <v>0</v>
      </c>
      <c r="Q18" s="112">
        <v>1268.52</v>
      </c>
      <c r="R18" s="396" t="e">
        <f t="shared" si="7"/>
        <v>#DIV/0!</v>
      </c>
      <c r="S18" s="213"/>
      <c r="T18" s="112">
        <v>0</v>
      </c>
      <c r="U18" s="112">
        <v>1301.46</v>
      </c>
      <c r="V18" s="396" t="e">
        <f t="shared" si="8"/>
        <v>#DIV/0!</v>
      </c>
      <c r="W18" s="213"/>
      <c r="X18" s="112">
        <v>0</v>
      </c>
      <c r="Y18" s="112">
        <v>531.03</v>
      </c>
      <c r="Z18" s="396" t="e">
        <f t="shared" si="9"/>
        <v>#DIV/0!</v>
      </c>
      <c r="AA18" s="213"/>
      <c r="AB18" s="112">
        <v>500</v>
      </c>
      <c r="AC18" s="112">
        <v>474.93</v>
      </c>
      <c r="AD18" s="396" t="e">
        <f t="shared" si="10"/>
        <v>#DIV/0!</v>
      </c>
      <c r="AE18" s="213"/>
      <c r="AF18" s="112">
        <v>500</v>
      </c>
      <c r="AG18" s="112">
        <v>500</v>
      </c>
      <c r="AH18" s="112">
        <v>437.8</v>
      </c>
      <c r="AI18" s="216">
        <f t="shared" si="1"/>
        <v>0</v>
      </c>
      <c r="AJ18" s="216"/>
      <c r="AK18" s="112">
        <v>600</v>
      </c>
      <c r="AL18" s="112">
        <v>198.47</v>
      </c>
      <c r="AM18" s="396">
        <f t="shared" si="2"/>
        <v>0.2</v>
      </c>
      <c r="AN18" s="396"/>
      <c r="AO18" s="163">
        <v>600</v>
      </c>
      <c r="AP18" s="399">
        <f t="shared" si="3"/>
        <v>0</v>
      </c>
      <c r="AQ18" s="396">
        <f t="shared" si="4"/>
        <v>0</v>
      </c>
      <c r="AR18" s="400" t="s">
        <v>1434</v>
      </c>
    </row>
    <row r="19" spans="1:44" s="211" customFormat="1" x14ac:dyDescent="0.25">
      <c r="A19" s="211" t="s">
        <v>469</v>
      </c>
      <c r="B19" s="214" t="str">
        <f t="shared" si="0"/>
        <v>5399</v>
      </c>
      <c r="C19" s="211" t="s">
        <v>1602</v>
      </c>
      <c r="D19" s="112">
        <v>350</v>
      </c>
      <c r="E19" s="112">
        <v>174</v>
      </c>
      <c r="F19" s="216"/>
      <c r="G19" s="213"/>
      <c r="H19" s="112">
        <v>350</v>
      </c>
      <c r="I19" s="112">
        <v>0</v>
      </c>
      <c r="J19" s="396">
        <f t="shared" si="5"/>
        <v>0</v>
      </c>
      <c r="K19" s="213"/>
      <c r="L19" s="112">
        <v>350</v>
      </c>
      <c r="M19" s="112">
        <v>514.34</v>
      </c>
      <c r="N19" s="396">
        <f t="shared" si="6"/>
        <v>0</v>
      </c>
      <c r="O19" s="213"/>
      <c r="P19" s="112">
        <v>350</v>
      </c>
      <c r="Q19" s="112">
        <v>619.9</v>
      </c>
      <c r="R19" s="396">
        <f t="shared" si="7"/>
        <v>0</v>
      </c>
      <c r="S19" s="213"/>
      <c r="T19" s="112">
        <v>350</v>
      </c>
      <c r="U19" s="112">
        <v>175</v>
      </c>
      <c r="V19" s="396">
        <f t="shared" si="8"/>
        <v>0</v>
      </c>
      <c r="W19" s="213"/>
      <c r="X19" s="112">
        <v>350</v>
      </c>
      <c r="Y19" s="112">
        <v>440</v>
      </c>
      <c r="Z19" s="396">
        <f t="shared" si="9"/>
        <v>0</v>
      </c>
      <c r="AA19" s="213"/>
      <c r="AB19" s="112">
        <v>350</v>
      </c>
      <c r="AC19" s="112">
        <v>150</v>
      </c>
      <c r="AD19" s="396">
        <f t="shared" si="10"/>
        <v>0</v>
      </c>
      <c r="AE19" s="213"/>
      <c r="AF19" s="112">
        <v>350</v>
      </c>
      <c r="AG19" s="112">
        <v>350</v>
      </c>
      <c r="AH19" s="112">
        <v>300</v>
      </c>
      <c r="AI19" s="216">
        <f t="shared" si="1"/>
        <v>0</v>
      </c>
      <c r="AJ19" s="216"/>
      <c r="AK19" s="112">
        <v>350</v>
      </c>
      <c r="AL19" s="112">
        <v>150</v>
      </c>
      <c r="AM19" s="396">
        <f t="shared" si="2"/>
        <v>0</v>
      </c>
      <c r="AN19" s="396"/>
      <c r="AO19" s="163">
        <v>350</v>
      </c>
      <c r="AP19" s="399">
        <f t="shared" si="3"/>
        <v>0</v>
      </c>
      <c r="AQ19" s="396">
        <f t="shared" si="4"/>
        <v>0</v>
      </c>
      <c r="AR19" s="288"/>
    </row>
    <row r="20" spans="1:44" s="394" customFormat="1" x14ac:dyDescent="0.25">
      <c r="A20" s="395" t="s">
        <v>1676</v>
      </c>
      <c r="B20" s="395">
        <v>5420</v>
      </c>
      <c r="C20" s="394" t="s">
        <v>1480</v>
      </c>
      <c r="D20" s="112"/>
      <c r="E20" s="112"/>
      <c r="F20" s="396"/>
      <c r="G20" s="397"/>
      <c r="H20" s="112"/>
      <c r="I20" s="112"/>
      <c r="J20" s="396"/>
      <c r="K20" s="397"/>
      <c r="L20" s="112"/>
      <c r="M20" s="112"/>
      <c r="N20" s="396"/>
      <c r="O20" s="397"/>
      <c r="P20" s="112"/>
      <c r="Q20" s="112"/>
      <c r="R20" s="396"/>
      <c r="S20" s="397"/>
      <c r="T20" s="112"/>
      <c r="U20" s="112"/>
      <c r="V20" s="396"/>
      <c r="W20" s="397"/>
      <c r="X20" s="112"/>
      <c r="Y20" s="112"/>
      <c r="Z20" s="396"/>
      <c r="AA20" s="397"/>
      <c r="AB20" s="112"/>
      <c r="AC20" s="112"/>
      <c r="AD20" s="396"/>
      <c r="AE20" s="397"/>
      <c r="AF20" s="112"/>
      <c r="AG20" s="112"/>
      <c r="AH20" s="112">
        <v>4.8499999999999996</v>
      </c>
      <c r="AI20" s="396"/>
      <c r="AJ20" s="396"/>
      <c r="AK20" s="112"/>
      <c r="AL20" s="112">
        <v>16.77</v>
      </c>
      <c r="AM20" s="396"/>
      <c r="AN20" s="396"/>
      <c r="AO20" s="163"/>
      <c r="AP20" s="399">
        <f t="shared" si="3"/>
        <v>0</v>
      </c>
      <c r="AQ20" s="396"/>
      <c r="AR20" s="400"/>
    </row>
    <row r="21" spans="1:44" s="211" customFormat="1" x14ac:dyDescent="0.25">
      <c r="A21" s="211" t="s">
        <v>470</v>
      </c>
      <c r="B21" s="214" t="str">
        <f t="shared" si="0"/>
        <v>5430</v>
      </c>
      <c r="C21" s="211" t="s">
        <v>1673</v>
      </c>
      <c r="D21" s="112">
        <v>600</v>
      </c>
      <c r="E21" s="112">
        <v>43.18</v>
      </c>
      <c r="F21" s="216"/>
      <c r="G21" s="213"/>
      <c r="H21" s="112">
        <v>600</v>
      </c>
      <c r="I21" s="112">
        <v>196.84</v>
      </c>
      <c r="J21" s="396">
        <f t="shared" si="5"/>
        <v>0</v>
      </c>
      <c r="K21" s="213"/>
      <c r="L21" s="112">
        <v>600</v>
      </c>
      <c r="M21" s="112">
        <v>165.87</v>
      </c>
      <c r="N21" s="396">
        <f t="shared" si="6"/>
        <v>0</v>
      </c>
      <c r="O21" s="213"/>
      <c r="P21" s="112">
        <v>600</v>
      </c>
      <c r="Q21" s="112">
        <v>57.13</v>
      </c>
      <c r="R21" s="396">
        <f t="shared" si="7"/>
        <v>0</v>
      </c>
      <c r="S21" s="213"/>
      <c r="T21" s="112">
        <v>600</v>
      </c>
      <c r="U21" s="112">
        <v>165.47</v>
      </c>
      <c r="V21" s="396">
        <f t="shared" si="8"/>
        <v>0</v>
      </c>
      <c r="W21" s="213"/>
      <c r="X21" s="112">
        <v>600</v>
      </c>
      <c r="Y21" s="112">
        <v>106.82</v>
      </c>
      <c r="Z21" s="396">
        <f t="shared" si="9"/>
        <v>0</v>
      </c>
      <c r="AA21" s="213"/>
      <c r="AB21" s="112">
        <v>600</v>
      </c>
      <c r="AC21" s="112">
        <v>63.64</v>
      </c>
      <c r="AD21" s="396">
        <f t="shared" si="10"/>
        <v>0</v>
      </c>
      <c r="AE21" s="213"/>
      <c r="AF21" s="112">
        <v>700</v>
      </c>
      <c r="AG21" s="112">
        <v>700</v>
      </c>
      <c r="AH21" s="112">
        <v>278.08999999999997</v>
      </c>
      <c r="AI21" s="216">
        <f t="shared" si="1"/>
        <v>0.16666666666666666</v>
      </c>
      <c r="AJ21" s="216"/>
      <c r="AK21" s="112">
        <v>700</v>
      </c>
      <c r="AL21" s="112">
        <v>68.930000000000007</v>
      </c>
      <c r="AM21" s="396">
        <f t="shared" si="2"/>
        <v>0</v>
      </c>
      <c r="AN21" s="396"/>
      <c r="AO21" s="163">
        <v>700</v>
      </c>
      <c r="AP21" s="399">
        <f t="shared" si="3"/>
        <v>0</v>
      </c>
      <c r="AQ21" s="396">
        <f t="shared" si="4"/>
        <v>0</v>
      </c>
      <c r="AR21" s="288"/>
    </row>
    <row r="22" spans="1:44" s="211" customFormat="1" x14ac:dyDescent="0.25">
      <c r="A22" s="211" t="s">
        <v>471</v>
      </c>
      <c r="B22" s="214" t="str">
        <f t="shared" si="0"/>
        <v>5450</v>
      </c>
      <c r="C22" s="211" t="s">
        <v>1644</v>
      </c>
      <c r="D22" s="112">
        <v>600</v>
      </c>
      <c r="E22" s="112">
        <v>556.11</v>
      </c>
      <c r="F22" s="216"/>
      <c r="G22" s="213"/>
      <c r="H22" s="112">
        <v>600</v>
      </c>
      <c r="I22" s="112">
        <v>897.26</v>
      </c>
      <c r="J22" s="396">
        <f t="shared" si="5"/>
        <v>0</v>
      </c>
      <c r="K22" s="213"/>
      <c r="L22" s="112">
        <v>600</v>
      </c>
      <c r="M22" s="112">
        <v>681.5</v>
      </c>
      <c r="N22" s="396">
        <f t="shared" si="6"/>
        <v>0</v>
      </c>
      <c r="O22" s="213"/>
      <c r="P22" s="112">
        <v>600</v>
      </c>
      <c r="Q22" s="112">
        <v>1178.6600000000001</v>
      </c>
      <c r="R22" s="396">
        <f t="shared" si="7"/>
        <v>0</v>
      </c>
      <c r="S22" s="213"/>
      <c r="T22" s="112">
        <v>600</v>
      </c>
      <c r="U22" s="112">
        <v>618.66</v>
      </c>
      <c r="V22" s="396">
        <f t="shared" si="8"/>
        <v>0</v>
      </c>
      <c r="W22" s="213"/>
      <c r="X22" s="112">
        <v>900</v>
      </c>
      <c r="Y22" s="112">
        <v>811.51</v>
      </c>
      <c r="Z22" s="396">
        <f t="shared" si="9"/>
        <v>0.5</v>
      </c>
      <c r="AA22" s="213"/>
      <c r="AB22" s="112">
        <v>900</v>
      </c>
      <c r="AC22" s="112">
        <v>806.74</v>
      </c>
      <c r="AD22" s="396">
        <f t="shared" si="10"/>
        <v>0</v>
      </c>
      <c r="AE22" s="213"/>
      <c r="AF22" s="112">
        <v>900</v>
      </c>
      <c r="AG22" s="112">
        <v>900</v>
      </c>
      <c r="AH22" s="112">
        <v>1024.17</v>
      </c>
      <c r="AI22" s="216">
        <f t="shared" si="1"/>
        <v>0</v>
      </c>
      <c r="AJ22" s="216"/>
      <c r="AK22" s="112">
        <v>900</v>
      </c>
      <c r="AL22" s="112">
        <v>636.73</v>
      </c>
      <c r="AM22" s="396">
        <f t="shared" si="2"/>
        <v>0</v>
      </c>
      <c r="AN22" s="396"/>
      <c r="AO22" s="163">
        <v>900</v>
      </c>
      <c r="AP22" s="399">
        <f t="shared" si="3"/>
        <v>0</v>
      </c>
      <c r="AQ22" s="396">
        <f t="shared" si="4"/>
        <v>0</v>
      </c>
      <c r="AR22" s="288"/>
    </row>
    <row r="23" spans="1:44" s="394" customFormat="1" x14ac:dyDescent="0.25">
      <c r="A23" s="395" t="s">
        <v>1966</v>
      </c>
      <c r="B23" s="395">
        <v>5511</v>
      </c>
      <c r="C23" s="394" t="s">
        <v>1646</v>
      </c>
      <c r="D23" s="112"/>
      <c r="E23" s="112"/>
      <c r="F23" s="396"/>
      <c r="G23" s="397"/>
      <c r="H23" s="112"/>
      <c r="I23" s="112"/>
      <c r="J23" s="396"/>
      <c r="K23" s="397"/>
      <c r="L23" s="112"/>
      <c r="M23" s="112"/>
      <c r="N23" s="396"/>
      <c r="O23" s="397"/>
      <c r="P23" s="112"/>
      <c r="Q23" s="112"/>
      <c r="R23" s="396"/>
      <c r="S23" s="397"/>
      <c r="T23" s="112"/>
      <c r="U23" s="112"/>
      <c r="V23" s="396"/>
      <c r="W23" s="397"/>
      <c r="X23" s="112"/>
      <c r="Y23" s="112"/>
      <c r="Z23" s="396"/>
      <c r="AA23" s="397"/>
      <c r="AB23" s="112"/>
      <c r="AC23" s="112"/>
      <c r="AD23" s="396"/>
      <c r="AE23" s="397"/>
      <c r="AF23" s="112"/>
      <c r="AG23" s="112"/>
      <c r="AH23" s="112"/>
      <c r="AI23" s="396"/>
      <c r="AJ23" s="396"/>
      <c r="AK23" s="112"/>
      <c r="AL23" s="112">
        <v>28.74</v>
      </c>
      <c r="AM23" s="396"/>
      <c r="AN23" s="396"/>
      <c r="AO23" s="163"/>
      <c r="AP23" s="399"/>
      <c r="AQ23" s="396"/>
      <c r="AR23" s="400"/>
    </row>
    <row r="24" spans="1:44" s="211" customFormat="1" x14ac:dyDescent="0.25">
      <c r="A24" s="211" t="s">
        <v>472</v>
      </c>
      <c r="B24" s="214" t="str">
        <f t="shared" si="0"/>
        <v>5589</v>
      </c>
      <c r="C24" s="211" t="s">
        <v>1604</v>
      </c>
      <c r="D24" s="112">
        <v>100</v>
      </c>
      <c r="E24" s="112">
        <v>200</v>
      </c>
      <c r="F24" s="216"/>
      <c r="G24" s="213"/>
      <c r="H24" s="112">
        <v>100</v>
      </c>
      <c r="I24" s="112">
        <v>35.729999999999997</v>
      </c>
      <c r="J24" s="396">
        <f t="shared" si="5"/>
        <v>0</v>
      </c>
      <c r="K24" s="213"/>
      <c r="L24" s="112">
        <v>100</v>
      </c>
      <c r="M24" s="112">
        <v>97.77</v>
      </c>
      <c r="N24" s="396">
        <f t="shared" si="6"/>
        <v>0</v>
      </c>
      <c r="O24" s="213"/>
      <c r="P24" s="112">
        <v>100</v>
      </c>
      <c r="Q24" s="112">
        <v>3</v>
      </c>
      <c r="R24" s="396">
        <f t="shared" si="7"/>
        <v>0</v>
      </c>
      <c r="S24" s="213"/>
      <c r="T24" s="112">
        <v>100</v>
      </c>
      <c r="U24" s="112">
        <v>81.86</v>
      </c>
      <c r="V24" s="396">
        <f t="shared" si="8"/>
        <v>0</v>
      </c>
      <c r="W24" s="213"/>
      <c r="X24" s="112">
        <v>100</v>
      </c>
      <c r="Y24" s="112">
        <v>0</v>
      </c>
      <c r="Z24" s="396">
        <f t="shared" si="9"/>
        <v>0</v>
      </c>
      <c r="AA24" s="213"/>
      <c r="AB24" s="112">
        <v>100</v>
      </c>
      <c r="AC24" s="112">
        <v>0</v>
      </c>
      <c r="AD24" s="396">
        <f t="shared" si="10"/>
        <v>0</v>
      </c>
      <c r="AE24" s="213"/>
      <c r="AF24" s="112">
        <v>100</v>
      </c>
      <c r="AG24" s="112">
        <v>100</v>
      </c>
      <c r="AH24" s="112">
        <v>69.989999999999995</v>
      </c>
      <c r="AI24" s="216">
        <f t="shared" si="1"/>
        <v>0</v>
      </c>
      <c r="AJ24" s="216"/>
      <c r="AK24" s="112">
        <v>100</v>
      </c>
      <c r="AL24" s="112">
        <v>0</v>
      </c>
      <c r="AM24" s="396">
        <f t="shared" si="2"/>
        <v>0</v>
      </c>
      <c r="AN24" s="396"/>
      <c r="AO24" s="163">
        <v>100</v>
      </c>
      <c r="AP24" s="399">
        <f t="shared" si="3"/>
        <v>0</v>
      </c>
      <c r="AQ24" s="396">
        <f t="shared" si="4"/>
        <v>0</v>
      </c>
      <c r="AR24" s="288"/>
    </row>
    <row r="25" spans="1:44" x14ac:dyDescent="0.25">
      <c r="A25" s="161" t="s">
        <v>473</v>
      </c>
      <c r="B25" s="119" t="str">
        <f t="shared" si="0"/>
        <v>5850</v>
      </c>
      <c r="C25" s="161" t="s">
        <v>1674</v>
      </c>
      <c r="D25" s="112">
        <v>300</v>
      </c>
      <c r="E25" s="112">
        <v>144.5</v>
      </c>
      <c r="F25" s="216"/>
      <c r="H25" s="112">
        <v>300</v>
      </c>
      <c r="I25" s="112">
        <v>534.02</v>
      </c>
      <c r="J25" s="396">
        <f t="shared" si="5"/>
        <v>0</v>
      </c>
      <c r="L25" s="112">
        <v>300</v>
      </c>
      <c r="M25" s="112">
        <v>356.5</v>
      </c>
      <c r="N25" s="396">
        <f t="shared" si="6"/>
        <v>0</v>
      </c>
      <c r="P25" s="112">
        <v>300</v>
      </c>
      <c r="Q25" s="112">
        <v>31.97</v>
      </c>
      <c r="R25" s="396">
        <f t="shared" si="7"/>
        <v>0</v>
      </c>
      <c r="T25" s="112">
        <v>300</v>
      </c>
      <c r="U25" s="112">
        <v>379.95</v>
      </c>
      <c r="V25" s="396">
        <f t="shared" si="8"/>
        <v>0</v>
      </c>
      <c r="W25" s="213"/>
      <c r="X25" s="112">
        <v>300</v>
      </c>
      <c r="Y25" s="112">
        <v>0</v>
      </c>
      <c r="Z25" s="396">
        <f t="shared" si="9"/>
        <v>0</v>
      </c>
      <c r="AA25" s="213"/>
      <c r="AB25" s="112">
        <v>300</v>
      </c>
      <c r="AC25" s="112">
        <v>0</v>
      </c>
      <c r="AD25" s="396">
        <f t="shared" si="10"/>
        <v>0</v>
      </c>
      <c r="AF25" s="112">
        <v>300</v>
      </c>
      <c r="AG25" s="112">
        <v>300</v>
      </c>
      <c r="AH25" s="112">
        <v>67.17</v>
      </c>
      <c r="AI25" s="216">
        <f t="shared" si="1"/>
        <v>0</v>
      </c>
      <c r="AJ25" s="80"/>
      <c r="AK25" s="112">
        <v>300</v>
      </c>
      <c r="AL25" s="112">
        <v>0</v>
      </c>
      <c r="AM25" s="396">
        <f t="shared" si="2"/>
        <v>0</v>
      </c>
      <c r="AN25" s="396"/>
      <c r="AO25" s="163">
        <v>300</v>
      </c>
      <c r="AP25" s="399">
        <f t="shared" si="3"/>
        <v>0</v>
      </c>
      <c r="AQ25" s="396">
        <f t="shared" si="4"/>
        <v>0</v>
      </c>
      <c r="AR25" s="166"/>
    </row>
    <row r="26" spans="1:44" x14ac:dyDescent="0.25">
      <c r="A26" s="161" t="s">
        <v>474</v>
      </c>
      <c r="B26" s="119" t="str">
        <f t="shared" si="0"/>
        <v>5870</v>
      </c>
      <c r="C26" s="161" t="s">
        <v>1675</v>
      </c>
      <c r="D26" s="112">
        <v>500</v>
      </c>
      <c r="E26" s="112">
        <v>358.16</v>
      </c>
      <c r="F26" s="216"/>
      <c r="H26" s="112">
        <v>500</v>
      </c>
      <c r="I26" s="112">
        <v>589.46</v>
      </c>
      <c r="J26" s="396">
        <f t="shared" si="5"/>
        <v>0</v>
      </c>
      <c r="L26" s="112">
        <v>500</v>
      </c>
      <c r="M26" s="112">
        <v>516.72</v>
      </c>
      <c r="N26" s="396">
        <f t="shared" si="6"/>
        <v>0</v>
      </c>
      <c r="P26" s="112">
        <v>500</v>
      </c>
      <c r="Q26" s="112">
        <v>177.82</v>
      </c>
      <c r="R26" s="396">
        <f t="shared" si="7"/>
        <v>0</v>
      </c>
      <c r="T26" s="112">
        <v>500</v>
      </c>
      <c r="U26" s="112">
        <v>0</v>
      </c>
      <c r="V26" s="396">
        <f t="shared" si="8"/>
        <v>0</v>
      </c>
      <c r="W26" s="213"/>
      <c r="X26" s="112">
        <v>500</v>
      </c>
      <c r="Y26" s="112">
        <v>537.53</v>
      </c>
      <c r="Z26" s="396">
        <f t="shared" si="9"/>
        <v>0</v>
      </c>
      <c r="AA26" s="213"/>
      <c r="AB26" s="112">
        <v>500</v>
      </c>
      <c r="AC26" s="112">
        <v>489.64</v>
      </c>
      <c r="AD26" s="396">
        <f t="shared" si="10"/>
        <v>0</v>
      </c>
      <c r="AF26" s="112">
        <v>500</v>
      </c>
      <c r="AG26" s="112">
        <v>500</v>
      </c>
      <c r="AH26" s="112">
        <v>867.8</v>
      </c>
      <c r="AI26" s="216">
        <f t="shared" si="1"/>
        <v>0</v>
      </c>
      <c r="AJ26" s="80"/>
      <c r="AK26" s="112">
        <v>800</v>
      </c>
      <c r="AL26" s="112">
        <v>180.35</v>
      </c>
      <c r="AM26" s="396">
        <f t="shared" si="2"/>
        <v>0.6</v>
      </c>
      <c r="AN26" s="396"/>
      <c r="AO26" s="163">
        <v>800</v>
      </c>
      <c r="AP26" s="399">
        <f t="shared" si="3"/>
        <v>0</v>
      </c>
      <c r="AQ26" s="396">
        <f t="shared" si="4"/>
        <v>0</v>
      </c>
      <c r="AR26" s="400" t="s">
        <v>1432</v>
      </c>
    </row>
    <row r="27" spans="1:44" s="394" customFormat="1" x14ac:dyDescent="0.25">
      <c r="A27" s="395" t="s">
        <v>1677</v>
      </c>
      <c r="B27" s="395">
        <v>5781</v>
      </c>
      <c r="C27" s="394" t="s">
        <v>1678</v>
      </c>
      <c r="D27" s="112"/>
      <c r="E27" s="112"/>
      <c r="F27" s="396"/>
      <c r="G27" s="397"/>
      <c r="H27" s="112"/>
      <c r="I27" s="112"/>
      <c r="J27" s="396"/>
      <c r="K27" s="397"/>
      <c r="L27" s="112"/>
      <c r="M27" s="112"/>
      <c r="N27" s="396"/>
      <c r="O27" s="397"/>
      <c r="P27" s="112"/>
      <c r="Q27" s="112"/>
      <c r="R27" s="396"/>
      <c r="S27" s="397"/>
      <c r="T27" s="112"/>
      <c r="U27" s="112"/>
      <c r="V27" s="396"/>
      <c r="W27" s="397"/>
      <c r="X27" s="112"/>
      <c r="Y27" s="112"/>
      <c r="Z27" s="396"/>
      <c r="AA27" s="397"/>
      <c r="AB27" s="112"/>
      <c r="AC27" s="112"/>
      <c r="AD27" s="396"/>
      <c r="AE27" s="397"/>
      <c r="AF27" s="112"/>
      <c r="AG27" s="112"/>
      <c r="AH27" s="112">
        <v>75</v>
      </c>
      <c r="AI27" s="396"/>
      <c r="AJ27" s="396"/>
      <c r="AK27" s="112"/>
      <c r="AL27" s="112"/>
      <c r="AM27" s="396"/>
      <c r="AN27" s="396"/>
      <c r="AO27" s="163"/>
      <c r="AP27" s="399">
        <f t="shared" si="3"/>
        <v>0</v>
      </c>
      <c r="AQ27" s="396"/>
      <c r="AR27" s="400"/>
    </row>
    <row r="28" spans="1:44" s="114" customFormat="1" x14ac:dyDescent="0.25">
      <c r="A28" s="219"/>
      <c r="B28" s="219"/>
      <c r="C28" s="219" t="s">
        <v>279</v>
      </c>
      <c r="D28" s="220">
        <f>SUM(D10:D26)</f>
        <v>18819.96</v>
      </c>
      <c r="E28" s="220">
        <f>SUM(E10:E26)</f>
        <v>18819.960000000003</v>
      </c>
      <c r="F28" s="221">
        <v>0.06</v>
      </c>
      <c r="G28" s="219"/>
      <c r="H28" s="220">
        <f>SUM(H10:H26)</f>
        <v>17750</v>
      </c>
      <c r="I28" s="220">
        <f>SUM(I10:I26)</f>
        <v>16765.78</v>
      </c>
      <c r="J28" s="221">
        <f t="shared" si="5"/>
        <v>-5.6852405637418953E-2</v>
      </c>
      <c r="K28" s="219"/>
      <c r="L28" s="220">
        <f>SUM(L10:L26)</f>
        <v>18750</v>
      </c>
      <c r="M28" s="220">
        <f>SUM(M10:M26)</f>
        <v>19366.160000000003</v>
      </c>
      <c r="N28" s="221">
        <f t="shared" si="6"/>
        <v>5.6338028169014086E-2</v>
      </c>
      <c r="O28" s="219"/>
      <c r="P28" s="220">
        <f>SUM(P10:P26)</f>
        <v>18750</v>
      </c>
      <c r="Q28" s="220">
        <f>SUM(Q10:Q26)</f>
        <v>18706.490000000005</v>
      </c>
      <c r="R28" s="221">
        <f>(P28-L28)/L28</f>
        <v>0</v>
      </c>
      <c r="S28" s="219"/>
      <c r="T28" s="220">
        <f>SUM(T10:T26)</f>
        <v>19350</v>
      </c>
      <c r="U28" s="220">
        <f>SUM(U10:U26)</f>
        <v>21146.61</v>
      </c>
      <c r="V28" s="221">
        <f>(T28-P28)/P28</f>
        <v>3.2000000000000001E-2</v>
      </c>
      <c r="W28" s="219"/>
      <c r="X28" s="220">
        <f>SUM(X10:X26)</f>
        <v>19350</v>
      </c>
      <c r="Y28" s="220">
        <f>SUM(Y10:Y26)</f>
        <v>16828.919999999998</v>
      </c>
      <c r="Z28" s="221">
        <f>(X28-T28)/T28</f>
        <v>0</v>
      </c>
      <c r="AA28" s="219"/>
      <c r="AB28" s="220">
        <f>SUM(AB10:AB26)</f>
        <v>19950</v>
      </c>
      <c r="AC28" s="220">
        <f>SUM(AC10:AC26)</f>
        <v>18274.879999999997</v>
      </c>
      <c r="AD28" s="221">
        <f>(AB28-X28)/X28</f>
        <v>3.1007751937984496E-2</v>
      </c>
      <c r="AE28" s="219"/>
      <c r="AF28" s="220">
        <f>SUM(AF10:AF26)</f>
        <v>20200</v>
      </c>
      <c r="AG28" s="220">
        <f>SUM(AG10:AG27)</f>
        <v>20200</v>
      </c>
      <c r="AH28" s="401">
        <f>SUM(AH10:AH27)</f>
        <v>18620.07</v>
      </c>
      <c r="AI28" s="221">
        <f t="shared" si="1"/>
        <v>1.2531328320802004E-2</v>
      </c>
      <c r="AJ28" s="221"/>
      <c r="AK28" s="401">
        <f>SUM(AK10:AK27)</f>
        <v>21600</v>
      </c>
      <c r="AL28" s="401">
        <f>SUM(AL10:AL27)</f>
        <v>6397.9700000000012</v>
      </c>
      <c r="AM28" s="221">
        <f t="shared" si="2"/>
        <v>6.9306930693069313E-2</v>
      </c>
      <c r="AN28" s="221"/>
      <c r="AO28" s="220">
        <f>SUM(AO10:AO26)</f>
        <v>22150</v>
      </c>
      <c r="AP28" s="220">
        <f>SUM(AP10:AP27)</f>
        <v>550</v>
      </c>
      <c r="AQ28" s="221">
        <f t="shared" si="4"/>
        <v>2.5462962962962962E-2</v>
      </c>
      <c r="AR28" s="219"/>
    </row>
    <row r="29" spans="1:44" s="211" customFormat="1" x14ac:dyDescent="0.25">
      <c r="D29" s="112"/>
      <c r="E29" s="112"/>
      <c r="F29" s="216"/>
      <c r="G29" s="213"/>
      <c r="H29" s="112"/>
      <c r="I29" s="112"/>
      <c r="J29" s="396"/>
      <c r="K29" s="213"/>
      <c r="L29" s="112"/>
      <c r="M29" s="112"/>
      <c r="N29" s="396"/>
      <c r="O29" s="213"/>
      <c r="P29" s="112"/>
      <c r="Q29" s="112"/>
      <c r="R29" s="396"/>
      <c r="S29" s="213"/>
      <c r="T29" s="112"/>
      <c r="U29" s="112"/>
      <c r="V29" s="396"/>
      <c r="W29" s="213"/>
      <c r="X29" s="112"/>
      <c r="Y29" s="112"/>
      <c r="Z29" s="396"/>
      <c r="AA29" s="213"/>
      <c r="AB29" s="112"/>
      <c r="AC29" s="112"/>
      <c r="AD29" s="396"/>
      <c r="AE29" s="213"/>
      <c r="AF29" s="112"/>
      <c r="AG29" s="112"/>
      <c r="AH29" s="112"/>
      <c r="AI29" s="216"/>
      <c r="AJ29" s="216"/>
      <c r="AK29" s="112"/>
      <c r="AL29" s="112"/>
      <c r="AM29" s="396"/>
      <c r="AN29" s="396"/>
      <c r="AO29" s="112"/>
      <c r="AP29" s="112"/>
      <c r="AQ29" s="396"/>
    </row>
    <row r="30" spans="1:44" s="114" customFormat="1" ht="12.75" x14ac:dyDescent="0.2">
      <c r="A30" s="228"/>
      <c r="B30" s="228"/>
      <c r="C30" s="233" t="s">
        <v>280</v>
      </c>
      <c r="D30" s="230">
        <f>D7+D28</f>
        <v>18819.96</v>
      </c>
      <c r="E30" s="230">
        <f>E7+E28</f>
        <v>18819.960000000003</v>
      </c>
      <c r="F30" s="231">
        <v>0.06</v>
      </c>
      <c r="G30" s="228"/>
      <c r="H30" s="230">
        <f>H7+H28</f>
        <v>17750</v>
      </c>
      <c r="I30" s="230">
        <f>I7+I28</f>
        <v>16765.78</v>
      </c>
      <c r="J30" s="231">
        <f t="shared" si="5"/>
        <v>-5.6852405637418953E-2</v>
      </c>
      <c r="K30" s="228"/>
      <c r="L30" s="230">
        <f>L7+L28</f>
        <v>18750</v>
      </c>
      <c r="M30" s="230">
        <f>M7+M28</f>
        <v>19366.160000000003</v>
      </c>
      <c r="N30" s="231">
        <f t="shared" si="6"/>
        <v>5.6338028169014086E-2</v>
      </c>
      <c r="O30" s="228"/>
      <c r="P30" s="230">
        <f>P7+P28</f>
        <v>18750</v>
      </c>
      <c r="Q30" s="230">
        <f>Q7+Q28</f>
        <v>18706.490000000005</v>
      </c>
      <c r="R30" s="231">
        <f t="shared" si="7"/>
        <v>0</v>
      </c>
      <c r="S30" s="228"/>
      <c r="T30" s="230">
        <f>T7+T28</f>
        <v>19350</v>
      </c>
      <c r="U30" s="230">
        <f>U7+U28</f>
        <v>21146.61</v>
      </c>
      <c r="V30" s="231">
        <f t="shared" si="8"/>
        <v>3.2000000000000001E-2</v>
      </c>
      <c r="W30" s="228"/>
      <c r="X30" s="230">
        <f>X7+X28</f>
        <v>19350</v>
      </c>
      <c r="Y30" s="230">
        <f>Y7+Y28</f>
        <v>16828.919999999998</v>
      </c>
      <c r="Z30" s="231">
        <f t="shared" si="9"/>
        <v>0</v>
      </c>
      <c r="AA30" s="228"/>
      <c r="AB30" s="230">
        <f>AB7+AB28</f>
        <v>19950</v>
      </c>
      <c r="AC30" s="230">
        <f>AC7+AC28</f>
        <v>18274.879999999997</v>
      </c>
      <c r="AD30" s="231">
        <f t="shared" si="10"/>
        <v>3.1007751937984496E-2</v>
      </c>
      <c r="AE30" s="228"/>
      <c r="AF30" s="230">
        <f>AF7+AF28</f>
        <v>20200</v>
      </c>
      <c r="AG30" s="230">
        <f>AG7+AG28</f>
        <v>20200</v>
      </c>
      <c r="AH30" s="230">
        <f>AH7+AH28</f>
        <v>18620.07</v>
      </c>
      <c r="AI30" s="231">
        <f>(AG30-AB30)/AB30</f>
        <v>1.2531328320802004E-2</v>
      </c>
      <c r="AJ30" s="231"/>
      <c r="AK30" s="402">
        <f>AK7+AK28</f>
        <v>21600</v>
      </c>
      <c r="AL30" s="402">
        <f>AL7+AL28</f>
        <v>6397.9700000000012</v>
      </c>
      <c r="AM30" s="231">
        <f t="shared" si="2"/>
        <v>6.9306930693069313E-2</v>
      </c>
      <c r="AN30" s="231"/>
      <c r="AO30" s="230">
        <f>AO7+AO28</f>
        <v>22150</v>
      </c>
      <c r="AP30" s="230">
        <f>AP7+AP28</f>
        <v>550</v>
      </c>
      <c r="AQ30" s="231">
        <f t="shared" si="4"/>
        <v>2.5462962962962962E-2</v>
      </c>
      <c r="AR30" s="233"/>
    </row>
    <row r="31" spans="1:44" x14ac:dyDescent="0.25">
      <c r="D31" s="120"/>
      <c r="H31" s="120"/>
      <c r="L31" s="120"/>
      <c r="P31" s="120"/>
      <c r="T31" s="120"/>
      <c r="X31" s="120"/>
      <c r="AB31" s="120"/>
      <c r="AF31" s="120"/>
      <c r="AG31" s="120"/>
      <c r="AK31" s="403"/>
    </row>
    <row r="32" spans="1:44" s="111" customFormat="1" thickBot="1" x14ac:dyDescent="0.25">
      <c r="C32" s="111" t="s">
        <v>281</v>
      </c>
      <c r="D32" s="122"/>
      <c r="E32" s="121">
        <f>D30-E30</f>
        <v>0</v>
      </c>
      <c r="G32" s="118"/>
      <c r="H32" s="122"/>
      <c r="I32" s="121">
        <f>H30-I30</f>
        <v>984.22000000000116</v>
      </c>
      <c r="K32" s="118"/>
      <c r="L32" s="122"/>
      <c r="M32" s="121">
        <f>L30-M30</f>
        <v>-616.16000000000349</v>
      </c>
      <c r="O32" s="118"/>
      <c r="P32" s="122"/>
      <c r="Q32" s="121">
        <f>P30-Q30</f>
        <v>43.509999999994761</v>
      </c>
      <c r="S32" s="118"/>
      <c r="T32" s="122"/>
      <c r="U32" s="121">
        <f>T30-U30</f>
        <v>-1796.6100000000006</v>
      </c>
      <c r="W32" s="118"/>
      <c r="X32" s="122"/>
      <c r="Y32" s="121">
        <f>X30-Y30</f>
        <v>2521.0800000000017</v>
      </c>
      <c r="AA32" s="118"/>
      <c r="AB32" s="122"/>
      <c r="AC32" s="121">
        <f>AB30-AC30</f>
        <v>1675.1200000000026</v>
      </c>
      <c r="AE32" s="118"/>
      <c r="AF32" s="122"/>
      <c r="AG32" s="122"/>
      <c r="AH32" s="121">
        <f>AG30-AH30</f>
        <v>1579.9300000000003</v>
      </c>
      <c r="AK32" s="122"/>
      <c r="AL32" s="121">
        <f>AK30-AL30</f>
        <v>15202.029999999999</v>
      </c>
      <c r="AO32" s="123"/>
      <c r="AP32" s="123"/>
    </row>
    <row r="33" spans="4:37" ht="14.25" thickTop="1"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403" t="s">
        <v>1511</v>
      </c>
      <c r="E120" s="211">
        <v>30.35</v>
      </c>
      <c r="F120" s="211">
        <v>25</v>
      </c>
      <c r="G120" s="397"/>
      <c r="H120" s="403"/>
      <c r="I120" s="394"/>
      <c r="J120" s="394"/>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sheetData>
  <mergeCells count="10">
    <mergeCell ref="D3:F3"/>
    <mergeCell ref="T3:V3"/>
    <mergeCell ref="X3:Z3"/>
    <mergeCell ref="AB3:AD3"/>
    <mergeCell ref="AO3:AR3"/>
    <mergeCell ref="AF3:AI3"/>
    <mergeCell ref="P3:R3"/>
    <mergeCell ref="H3:J3"/>
    <mergeCell ref="L3:N3"/>
    <mergeCell ref="AK3:AN3"/>
  </mergeCells>
  <pageMargins left="0.75" right="0.75" top="1" bottom="1" header="0.5" footer="0.5"/>
  <pageSetup paperSize="5" scale="81" orientation="landscape" copies="15" r:id="rId1"/>
  <headerFooter alignWithMargins="0">
    <oddHeader>&amp;C&amp;"-,Bold"Proposed Budget &amp; Analysis Report for FY20</oddHeader>
    <oddFooter>&amp;C&amp;D&amp;T&amp;R&amp;A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3:AR373"/>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6.5703125" style="161" customWidth="1"/>
    <col min="4" max="4" width="11.42578125" style="211" hidden="1" customWidth="1"/>
    <col min="5" max="5" width="10.5703125" style="211" hidden="1" customWidth="1"/>
    <col min="6" max="6" width="5.7109375" style="211" hidden="1" customWidth="1"/>
    <col min="7" max="7" width="2.42578125" style="211" hidden="1" customWidth="1"/>
    <col min="8" max="8" width="11.42578125" style="211" hidden="1" customWidth="1"/>
    <col min="9" max="9" width="10.5703125" style="211" hidden="1" customWidth="1"/>
    <col min="10" max="10" width="5.7109375" style="211" hidden="1" customWidth="1"/>
    <col min="11" max="11" width="2.42578125" style="211" hidden="1" customWidth="1"/>
    <col min="12" max="12" width="11.42578125" style="211" hidden="1" customWidth="1"/>
    <col min="13" max="13" width="10.5703125" style="211" hidden="1" customWidth="1"/>
    <col min="14" max="14" width="5.7109375" style="211" hidden="1" customWidth="1"/>
    <col min="15" max="15" width="2.42578125" style="211" hidden="1" customWidth="1"/>
    <col min="16" max="16" width="11.42578125" style="211" hidden="1" customWidth="1"/>
    <col min="17" max="17" width="10.5703125" style="211" hidden="1" customWidth="1"/>
    <col min="18" max="18" width="5.7109375" style="211" hidden="1" customWidth="1"/>
    <col min="19" max="19" width="2.42578125" style="211" hidden="1" customWidth="1"/>
    <col min="20" max="20" width="11.42578125" style="161" hidden="1" customWidth="1"/>
    <col min="21" max="21" width="10.5703125" style="161" hidden="1" customWidth="1"/>
    <col min="22" max="22" width="5.7109375" style="161" hidden="1" customWidth="1"/>
    <col min="23" max="23" width="2.42578125" style="161" hidden="1" customWidth="1"/>
    <col min="24" max="25" width="11.5703125" style="161" hidden="1" customWidth="1"/>
    <col min="26" max="26" width="8.5703125" style="161" hidden="1" customWidth="1"/>
    <col min="27" max="27" width="2.42578125" style="161" hidden="1" customWidth="1"/>
    <col min="28" max="29" width="10.5703125" style="161" bestFit="1" customWidth="1"/>
    <col min="30" max="30" width="8.5703125" style="161" bestFit="1" customWidth="1"/>
    <col min="31" max="31" width="2.42578125" style="211" customWidth="1"/>
    <col min="32" max="32" width="10.5703125" style="211" hidden="1" customWidth="1"/>
    <col min="33" max="34" width="10.5703125" style="211" bestFit="1" customWidth="1"/>
    <col min="35" max="35" width="7.140625" style="211" bestFit="1" customWidth="1"/>
    <col min="36" max="36" width="1.85546875" style="161" customWidth="1"/>
    <col min="37" max="38" width="10.5703125" style="394" bestFit="1" customWidth="1"/>
    <col min="39" max="39" width="8.5703125" style="394" bestFit="1" customWidth="1"/>
    <col min="40" max="40" width="2.42578125" style="394" customWidth="1"/>
    <col min="41" max="41" width="12" style="104" bestFit="1" customWidth="1"/>
    <col min="42" max="42" width="11.28515625" style="104" bestFit="1" customWidth="1"/>
    <col min="43" max="43" width="9.5703125" style="161" bestFit="1" customWidth="1"/>
    <col min="44" max="44" width="22.85546875" style="161" customWidth="1"/>
    <col min="45" max="16384" width="9.140625" style="161"/>
  </cols>
  <sheetData>
    <row r="3" spans="1:44" s="111" customFormat="1" ht="15" customHeight="1" x14ac:dyDescent="0.25">
      <c r="C3" s="451"/>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9"/>
      <c r="AO3" s="805" t="s">
        <v>1593</v>
      </c>
      <c r="AP3" s="805"/>
      <c r="AQ3" s="805"/>
      <c r="AR3" s="805"/>
    </row>
    <row r="4" spans="1:44" ht="39" customHeight="1" x14ac:dyDescent="0.25">
      <c r="B4" s="810" t="s">
        <v>1984</v>
      </c>
      <c r="C4" s="811"/>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R5" s="111"/>
    </row>
    <row r="6" spans="1:44" x14ac:dyDescent="0.25">
      <c r="A6" s="111" t="s">
        <v>272</v>
      </c>
      <c r="D6" s="112"/>
      <c r="E6" s="112"/>
      <c r="H6" s="112"/>
      <c r="I6" s="112"/>
      <c r="L6" s="112"/>
      <c r="M6" s="112"/>
      <c r="P6" s="112"/>
      <c r="Q6" s="112"/>
      <c r="T6" s="112"/>
      <c r="U6" s="112"/>
      <c r="X6" s="112"/>
      <c r="Y6" s="112"/>
      <c r="AB6" s="112"/>
      <c r="AC6" s="112"/>
      <c r="AF6" s="218"/>
      <c r="AG6" s="218"/>
      <c r="AH6" s="112"/>
      <c r="AK6" s="112"/>
      <c r="AL6" s="112"/>
      <c r="AO6" s="138"/>
      <c r="AP6" s="138"/>
      <c r="AR6" s="2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f>SUM(AF6)</f>
        <v>0</v>
      </c>
      <c r="AG7" s="227">
        <f>SUM(AG6)</f>
        <v>0</v>
      </c>
      <c r="AH7" s="225">
        <f>SUM(AH6:AH6)</f>
        <v>0</v>
      </c>
      <c r="AI7" s="226"/>
      <c r="AJ7" s="226"/>
      <c r="AK7" s="225">
        <f>SUM(AK6:AK6)</f>
        <v>0</v>
      </c>
      <c r="AL7" s="225">
        <f>SUM(AL6:AL6)</f>
        <v>0</v>
      </c>
      <c r="AM7" s="226"/>
      <c r="AN7" s="224"/>
      <c r="AO7" s="227">
        <f>SUM(AO6)</f>
        <v>0</v>
      </c>
      <c r="AP7" s="225">
        <f>SUM(AP6:AP6)</f>
        <v>0</v>
      </c>
      <c r="AQ7" s="226"/>
      <c r="AR7" s="224"/>
    </row>
    <row r="8" spans="1:44" x14ac:dyDescent="0.25">
      <c r="D8" s="112"/>
      <c r="E8" s="112"/>
      <c r="H8" s="112"/>
      <c r="I8" s="112"/>
      <c r="L8" s="112"/>
      <c r="M8" s="112"/>
      <c r="P8" s="112"/>
      <c r="Q8" s="112"/>
      <c r="T8" s="112"/>
      <c r="U8" s="112"/>
      <c r="X8" s="112"/>
      <c r="Y8" s="112"/>
      <c r="AB8" s="112"/>
      <c r="AC8" s="112"/>
      <c r="AF8" s="218"/>
      <c r="AG8" s="218"/>
      <c r="AH8" s="112"/>
      <c r="AK8" s="112"/>
      <c r="AL8" s="112"/>
      <c r="AO8" s="138"/>
      <c r="AP8" s="138"/>
    </row>
    <row r="9" spans="1:44" x14ac:dyDescent="0.25">
      <c r="C9" s="111" t="s">
        <v>277</v>
      </c>
      <c r="D9" s="112"/>
      <c r="E9" s="112"/>
      <c r="H9" s="112"/>
      <c r="I9" s="112"/>
      <c r="L9" s="112"/>
      <c r="M9" s="112"/>
      <c r="P9" s="112"/>
      <c r="Q9" s="112"/>
      <c r="T9" s="112"/>
      <c r="U9" s="112"/>
      <c r="X9" s="112"/>
      <c r="Y9" s="112"/>
      <c r="AB9" s="112"/>
      <c r="AC9" s="112"/>
      <c r="AF9" s="218"/>
      <c r="AG9" s="218"/>
      <c r="AH9" s="112"/>
      <c r="AK9" s="112"/>
      <c r="AL9" s="112"/>
      <c r="AO9" s="138"/>
      <c r="AP9" s="138"/>
      <c r="AR9" s="111"/>
    </row>
    <row r="10" spans="1:44" x14ac:dyDescent="0.25">
      <c r="A10" s="214" t="s">
        <v>1227</v>
      </c>
      <c r="B10" s="119" t="str">
        <f>MID(A10,14,4)</f>
        <v>5302</v>
      </c>
      <c r="C10" s="161" t="s">
        <v>1774</v>
      </c>
      <c r="D10" s="112">
        <v>0</v>
      </c>
      <c r="E10" s="112">
        <v>0</v>
      </c>
      <c r="H10" s="112">
        <v>0</v>
      </c>
      <c r="I10" s="112">
        <v>0</v>
      </c>
      <c r="L10" s="112">
        <v>0</v>
      </c>
      <c r="M10" s="112">
        <v>0</v>
      </c>
      <c r="P10" s="112">
        <v>0</v>
      </c>
      <c r="Q10" s="112">
        <v>0</v>
      </c>
      <c r="T10" s="112">
        <v>0</v>
      </c>
      <c r="U10" s="112">
        <v>0</v>
      </c>
      <c r="V10" s="211"/>
      <c r="W10" s="211"/>
      <c r="X10" s="112">
        <v>0</v>
      </c>
      <c r="Y10" s="112">
        <v>8335</v>
      </c>
      <c r="Z10" s="211"/>
      <c r="AA10" s="211"/>
      <c r="AB10" s="112">
        <v>0</v>
      </c>
      <c r="AC10" s="112">
        <v>1506.25</v>
      </c>
      <c r="AD10" s="211"/>
      <c r="AE10" s="213"/>
      <c r="AF10" s="218"/>
      <c r="AG10" s="218"/>
      <c r="AH10" s="112">
        <v>240</v>
      </c>
      <c r="AJ10" s="80"/>
      <c r="AK10" s="112">
        <v>0</v>
      </c>
      <c r="AL10" s="112"/>
      <c r="AN10" s="397"/>
      <c r="AO10" s="113"/>
      <c r="AP10" s="112">
        <f>AO10-AK10</f>
        <v>0</v>
      </c>
      <c r="AQ10" s="211"/>
      <c r="AR10" s="173"/>
    </row>
    <row r="11" spans="1:44" s="211" customFormat="1" x14ac:dyDescent="0.25">
      <c r="A11" s="211" t="s">
        <v>475</v>
      </c>
      <c r="B11" s="214" t="str">
        <f>MID(A11,14,4)</f>
        <v>5399</v>
      </c>
      <c r="C11" s="211" t="s">
        <v>1602</v>
      </c>
      <c r="D11" s="112">
        <v>52355.54</v>
      </c>
      <c r="E11" s="112">
        <v>38608.199999999997</v>
      </c>
      <c r="H11" s="112">
        <v>30000</v>
      </c>
      <c r="I11" s="112">
        <v>20185.96</v>
      </c>
      <c r="L11" s="112">
        <v>30000</v>
      </c>
      <c r="M11" s="112">
        <v>13711.53</v>
      </c>
      <c r="P11" s="112">
        <v>28000</v>
      </c>
      <c r="Q11" s="112">
        <v>18769.900000000001</v>
      </c>
      <c r="T11" s="112">
        <v>30000</v>
      </c>
      <c r="U11" s="112">
        <v>29600.91</v>
      </c>
      <c r="X11" s="112">
        <v>30000</v>
      </c>
      <c r="Y11" s="112">
        <v>14272.43</v>
      </c>
      <c r="AB11" s="112">
        <v>30000</v>
      </c>
      <c r="AC11" s="112">
        <v>28517.24</v>
      </c>
      <c r="AE11" s="213"/>
      <c r="AF11" s="112">
        <v>30000</v>
      </c>
      <c r="AG11" s="112">
        <v>30000</v>
      </c>
      <c r="AH11" s="112">
        <v>9805.0300000000007</v>
      </c>
      <c r="AI11" s="89">
        <f>(AG11-AB11)/AB11</f>
        <v>0</v>
      </c>
      <c r="AJ11" s="216"/>
      <c r="AK11" s="112">
        <v>28000</v>
      </c>
      <c r="AL11" s="112">
        <v>6264.78</v>
      </c>
      <c r="AM11" s="89">
        <f>(AK11-AG11)/AG11</f>
        <v>-6.6666666666666666E-2</v>
      </c>
      <c r="AN11" s="397"/>
      <c r="AO11" s="113">
        <v>30000</v>
      </c>
      <c r="AP11" s="112">
        <f>AO11-AK11</f>
        <v>2000</v>
      </c>
      <c r="AQ11" s="89">
        <f>(AO11-AK11)/AK11</f>
        <v>7.1428571428571425E-2</v>
      </c>
      <c r="AR11" s="173"/>
    </row>
    <row r="12" spans="1:44" x14ac:dyDescent="0.25">
      <c r="A12" s="161" t="s">
        <v>476</v>
      </c>
      <c r="B12" s="119" t="str">
        <f>MID(A12,14,4)</f>
        <v>5589</v>
      </c>
      <c r="C12" s="161" t="s">
        <v>1604</v>
      </c>
      <c r="D12" s="112">
        <v>5000</v>
      </c>
      <c r="E12" s="112">
        <v>0</v>
      </c>
      <c r="H12" s="112">
        <v>6000</v>
      </c>
      <c r="I12" s="112">
        <v>237.28</v>
      </c>
      <c r="L12" s="112">
        <v>5000</v>
      </c>
      <c r="M12" s="112">
        <v>1717</v>
      </c>
      <c r="P12" s="112">
        <v>2000</v>
      </c>
      <c r="Q12" s="112">
        <v>443.38</v>
      </c>
      <c r="T12" s="112">
        <v>5000</v>
      </c>
      <c r="U12" s="112">
        <v>35.69</v>
      </c>
      <c r="V12" s="211"/>
      <c r="W12" s="211"/>
      <c r="X12" s="112">
        <v>5000</v>
      </c>
      <c r="Y12" s="112">
        <v>102.7</v>
      </c>
      <c r="Z12" s="211"/>
      <c r="AA12" s="211"/>
      <c r="AB12" s="112">
        <v>5000</v>
      </c>
      <c r="AC12" s="112">
        <v>2835.8</v>
      </c>
      <c r="AD12" s="211"/>
      <c r="AE12" s="213"/>
      <c r="AF12" s="112">
        <v>5000</v>
      </c>
      <c r="AG12" s="112">
        <v>5000</v>
      </c>
      <c r="AH12" s="112">
        <v>0</v>
      </c>
      <c r="AI12" s="89">
        <f>(AG12-AB12)/AB12</f>
        <v>0</v>
      </c>
      <c r="AJ12" s="80"/>
      <c r="AK12" s="112">
        <v>5000</v>
      </c>
      <c r="AL12" s="112">
        <v>0</v>
      </c>
      <c r="AM12" s="89">
        <f>(AK12-AG12)/AG12</f>
        <v>0</v>
      </c>
      <c r="AN12" s="397"/>
      <c r="AO12" s="113">
        <v>5000</v>
      </c>
      <c r="AP12" s="112">
        <f>AO12-AK12</f>
        <v>0</v>
      </c>
      <c r="AQ12" s="89">
        <f>(AO12-AK12)/AK12</f>
        <v>0</v>
      </c>
      <c r="AR12" s="166"/>
    </row>
    <row r="13" spans="1:44" x14ac:dyDescent="0.25">
      <c r="A13" s="119" t="s">
        <v>985</v>
      </c>
      <c r="B13" s="119">
        <v>5600</v>
      </c>
      <c r="C13" s="161" t="s">
        <v>1775</v>
      </c>
      <c r="D13" s="112">
        <v>0</v>
      </c>
      <c r="E13" s="112">
        <v>0</v>
      </c>
      <c r="H13" s="112">
        <v>0</v>
      </c>
      <c r="I13" s="112">
        <v>0</v>
      </c>
      <c r="L13" s="112">
        <v>0</v>
      </c>
      <c r="M13" s="112">
        <v>0</v>
      </c>
      <c r="P13" s="112">
        <v>0</v>
      </c>
      <c r="Q13" s="112">
        <v>0</v>
      </c>
      <c r="T13" s="112">
        <v>10000</v>
      </c>
      <c r="U13" s="112">
        <v>1011.25</v>
      </c>
      <c r="V13" s="211"/>
      <c r="W13" s="211"/>
      <c r="X13" s="112">
        <v>25000</v>
      </c>
      <c r="Y13" s="112">
        <v>561.5</v>
      </c>
      <c r="Z13" s="211"/>
      <c r="AA13" s="211"/>
      <c r="AB13" s="112">
        <v>25000</v>
      </c>
      <c r="AC13" s="112">
        <v>0</v>
      </c>
      <c r="AD13" s="211"/>
      <c r="AE13" s="213"/>
      <c r="AF13" s="112">
        <v>25000</v>
      </c>
      <c r="AG13" s="112">
        <v>25000</v>
      </c>
      <c r="AH13" s="112">
        <v>0</v>
      </c>
      <c r="AI13" s="89">
        <f>(AG13-AB13)/AB13</f>
        <v>0</v>
      </c>
      <c r="AJ13" s="80"/>
      <c r="AK13" s="112">
        <v>25000</v>
      </c>
      <c r="AL13" s="112">
        <v>0</v>
      </c>
      <c r="AM13" s="89">
        <f>(AK13-AG13)/AG13</f>
        <v>0</v>
      </c>
      <c r="AN13" s="397"/>
      <c r="AO13" s="113">
        <v>15000</v>
      </c>
      <c r="AP13" s="112">
        <f>AO13-AK13</f>
        <v>-10000</v>
      </c>
      <c r="AQ13" s="89">
        <f>(AO13-AK13)/AK13</f>
        <v>-0.4</v>
      </c>
      <c r="AR13" s="173"/>
    </row>
    <row r="14" spans="1:44" s="114" customFormat="1" x14ac:dyDescent="0.25">
      <c r="A14" s="219"/>
      <c r="B14" s="219"/>
      <c r="C14" s="219" t="s">
        <v>279</v>
      </c>
      <c r="D14" s="220">
        <f>SUM(D10:D13)</f>
        <v>57355.54</v>
      </c>
      <c r="E14" s="220">
        <f>SUM(E10:E13)</f>
        <v>38608.199999999997</v>
      </c>
      <c r="F14" s="221"/>
      <c r="G14" s="219"/>
      <c r="H14" s="220">
        <f>SUM(H10:H13)</f>
        <v>36000</v>
      </c>
      <c r="I14" s="220">
        <f>SUM(I10:I13)</f>
        <v>20423.239999999998</v>
      </c>
      <c r="J14" s="221"/>
      <c r="K14" s="219"/>
      <c r="L14" s="220">
        <f>SUM(L10:L13)</f>
        <v>35000</v>
      </c>
      <c r="M14" s="220">
        <f>SUM(M10:M13)</f>
        <v>15428.53</v>
      </c>
      <c r="N14" s="221"/>
      <c r="O14" s="219"/>
      <c r="P14" s="220">
        <f>SUM(P10:P13)</f>
        <v>30000</v>
      </c>
      <c r="Q14" s="220">
        <f>SUM(Q10:Q13)</f>
        <v>19213.280000000002</v>
      </c>
      <c r="R14" s="221"/>
      <c r="S14" s="219"/>
      <c r="T14" s="220">
        <f>SUM(T10:T13)</f>
        <v>45000</v>
      </c>
      <c r="U14" s="220">
        <f>SUM(U10:U13)</f>
        <v>30647.85</v>
      </c>
      <c r="V14" s="221"/>
      <c r="W14" s="219"/>
      <c r="X14" s="220">
        <f>SUM(X10:X13)</f>
        <v>60000</v>
      </c>
      <c r="Y14" s="220">
        <f>SUM(Y10:Y13)</f>
        <v>23271.63</v>
      </c>
      <c r="Z14" s="222">
        <f>(X14-T14)/T14</f>
        <v>0.33333333333333331</v>
      </c>
      <c r="AA14" s="219"/>
      <c r="AB14" s="220">
        <f>SUM(AB10:AB13)</f>
        <v>60000</v>
      </c>
      <c r="AC14" s="220">
        <f>SUM(AC10:AC13)</f>
        <v>32859.29</v>
      </c>
      <c r="AD14" s="221">
        <f>(AB14-X14)/X14</f>
        <v>0</v>
      </c>
      <c r="AE14" s="219"/>
      <c r="AF14" s="220">
        <f>SUM(AF10:AF13)</f>
        <v>60000</v>
      </c>
      <c r="AG14" s="220">
        <f>SUM(AG10:AG13)</f>
        <v>60000</v>
      </c>
      <c r="AH14" s="220">
        <f>SUM(AH10:AH13)</f>
        <v>10045.030000000001</v>
      </c>
      <c r="AI14" s="221">
        <f>(AG14-AB14)/AB14</f>
        <v>0</v>
      </c>
      <c r="AJ14" s="221"/>
      <c r="AK14" s="401">
        <f>SUM(AK10:AK13)</f>
        <v>58000</v>
      </c>
      <c r="AL14" s="401">
        <f>SUM(AL10:AL13)</f>
        <v>6264.78</v>
      </c>
      <c r="AM14" s="221">
        <f>(AK14-AG14)/AG14</f>
        <v>-3.3333333333333333E-2</v>
      </c>
      <c r="AN14" s="219"/>
      <c r="AO14" s="220">
        <f>SUM(AO10:AO13)</f>
        <v>50000</v>
      </c>
      <c r="AP14" s="401">
        <f>SUM(AP10:AP13)</f>
        <v>-8000</v>
      </c>
      <c r="AQ14" s="221">
        <f>(AO14-AK14)/AK14</f>
        <v>-0.13793103448275862</v>
      </c>
      <c r="AR14" s="219"/>
    </row>
    <row r="15" spans="1:44" s="211" customFormat="1" x14ac:dyDescent="0.25">
      <c r="D15" s="112"/>
      <c r="E15" s="112"/>
      <c r="F15" s="216"/>
      <c r="G15" s="213"/>
      <c r="H15" s="112"/>
      <c r="I15" s="112"/>
      <c r="J15" s="216"/>
      <c r="K15" s="213"/>
      <c r="L15" s="112"/>
      <c r="M15" s="112"/>
      <c r="N15" s="216"/>
      <c r="O15" s="213"/>
      <c r="P15" s="112"/>
      <c r="Q15" s="112"/>
      <c r="R15" s="216"/>
      <c r="S15" s="213"/>
      <c r="T15" s="112"/>
      <c r="U15" s="112"/>
      <c r="V15" s="216"/>
      <c r="W15" s="213"/>
      <c r="X15" s="112"/>
      <c r="Y15" s="112"/>
      <c r="Z15" s="216"/>
      <c r="AA15" s="213"/>
      <c r="AB15" s="112"/>
      <c r="AC15" s="112"/>
      <c r="AD15" s="216"/>
      <c r="AE15" s="213"/>
      <c r="AF15" s="112"/>
      <c r="AG15" s="112"/>
      <c r="AH15" s="112"/>
      <c r="AI15" s="216"/>
      <c r="AJ15" s="216"/>
      <c r="AK15" s="112"/>
      <c r="AL15" s="112"/>
      <c r="AM15" s="396"/>
      <c r="AN15" s="397"/>
      <c r="AO15" s="112"/>
      <c r="AP15" s="112"/>
      <c r="AQ15" s="396"/>
    </row>
    <row r="16" spans="1:44" s="114" customFormat="1" ht="12.75" x14ac:dyDescent="0.2">
      <c r="A16" s="228"/>
      <c r="B16" s="228"/>
      <c r="C16" s="233" t="s">
        <v>280</v>
      </c>
      <c r="D16" s="230">
        <f>D7+D14</f>
        <v>57355.54</v>
      </c>
      <c r="E16" s="230">
        <f>E7+E14</f>
        <v>38608.199999999997</v>
      </c>
      <c r="F16" s="231"/>
      <c r="G16" s="228"/>
      <c r="H16" s="230">
        <f>H7+H14</f>
        <v>36000</v>
      </c>
      <c r="I16" s="230">
        <f>I7+I14</f>
        <v>20423.239999999998</v>
      </c>
      <c r="J16" s="231"/>
      <c r="K16" s="228"/>
      <c r="L16" s="230">
        <f>L7+L14</f>
        <v>35000</v>
      </c>
      <c r="M16" s="230">
        <f>M7+M14</f>
        <v>15428.53</v>
      </c>
      <c r="N16" s="231"/>
      <c r="O16" s="228"/>
      <c r="P16" s="230">
        <f>P7+P14</f>
        <v>30000</v>
      </c>
      <c r="Q16" s="230">
        <f>Q7+Q14</f>
        <v>19213.280000000002</v>
      </c>
      <c r="R16" s="231"/>
      <c r="S16" s="228"/>
      <c r="T16" s="230">
        <f>T7+T14</f>
        <v>45000</v>
      </c>
      <c r="U16" s="230">
        <f>U7+U14</f>
        <v>30647.85</v>
      </c>
      <c r="V16" s="231"/>
      <c r="W16" s="228"/>
      <c r="X16" s="230">
        <f>X7+X14</f>
        <v>60000</v>
      </c>
      <c r="Y16" s="230">
        <f>Y7+Y14</f>
        <v>23271.63</v>
      </c>
      <c r="Z16" s="231">
        <f>(X16-T16)/T16</f>
        <v>0.33333333333333331</v>
      </c>
      <c r="AA16" s="228"/>
      <c r="AB16" s="230">
        <f>AB7+AB14</f>
        <v>60000</v>
      </c>
      <c r="AC16" s="230">
        <f>AC7+AC14</f>
        <v>32859.29</v>
      </c>
      <c r="AD16" s="231">
        <f>(AB16-X16)/X16</f>
        <v>0</v>
      </c>
      <c r="AE16" s="228"/>
      <c r="AF16" s="230">
        <f>AF7+AF14</f>
        <v>60000</v>
      </c>
      <c r="AG16" s="230">
        <f>AG7+AG14</f>
        <v>60000</v>
      </c>
      <c r="AH16" s="230">
        <f>AH7+AH14</f>
        <v>10045.030000000001</v>
      </c>
      <c r="AI16" s="231">
        <f>(AG16-AB16)/AB16</f>
        <v>0</v>
      </c>
      <c r="AJ16" s="231"/>
      <c r="AK16" s="402">
        <f>AK7+AK14</f>
        <v>58000</v>
      </c>
      <c r="AL16" s="402">
        <f>AL7+AL14</f>
        <v>6264.78</v>
      </c>
      <c r="AM16" s="231">
        <f>(AK16-AG16)/AG16</f>
        <v>-3.3333333333333333E-2</v>
      </c>
      <c r="AN16" s="228"/>
      <c r="AO16" s="230">
        <f>AO7+AO14</f>
        <v>50000</v>
      </c>
      <c r="AP16" s="402">
        <f>AP7+AP14</f>
        <v>-8000</v>
      </c>
      <c r="AQ16" s="231">
        <f>(AO16-AK16)/AK16</f>
        <v>-0.13793103448275862</v>
      </c>
      <c r="AR16" s="233"/>
    </row>
    <row r="17" spans="3:43" x14ac:dyDescent="0.25">
      <c r="D17" s="120"/>
      <c r="H17" s="120"/>
      <c r="L17" s="120"/>
      <c r="P17" s="120"/>
      <c r="T17" s="120"/>
      <c r="X17" s="120"/>
      <c r="AB17" s="120"/>
      <c r="AF17" s="120"/>
      <c r="AG17" s="120"/>
      <c r="AK17" s="403"/>
      <c r="AP17" s="211"/>
      <c r="AQ17" s="211"/>
    </row>
    <row r="18" spans="3:43" s="111" customFormat="1" thickBot="1" x14ac:dyDescent="0.25">
      <c r="C18" s="111" t="s">
        <v>281</v>
      </c>
      <c r="D18" s="122"/>
      <c r="E18" s="121">
        <f>D16-E16</f>
        <v>18747.340000000004</v>
      </c>
      <c r="H18" s="122"/>
      <c r="I18" s="121">
        <f>H16-I16</f>
        <v>15576.760000000002</v>
      </c>
      <c r="L18" s="122"/>
      <c r="M18" s="121">
        <f>L16-M16</f>
        <v>19571.47</v>
      </c>
      <c r="P18" s="122"/>
      <c r="Q18" s="121">
        <f>P16-Q16</f>
        <v>10786.719999999998</v>
      </c>
      <c r="T18" s="122"/>
      <c r="U18" s="121">
        <f>T16-U16</f>
        <v>14352.150000000001</v>
      </c>
      <c r="X18" s="122"/>
      <c r="Y18" s="121">
        <f>X16-Y16</f>
        <v>36728.369999999995</v>
      </c>
      <c r="AB18" s="122"/>
      <c r="AC18" s="121">
        <f>AB16-AC16</f>
        <v>27140.71</v>
      </c>
      <c r="AF18" s="122"/>
      <c r="AG18" s="122"/>
      <c r="AH18" s="121">
        <f>AF16-AH16</f>
        <v>49954.97</v>
      </c>
      <c r="AK18" s="122"/>
      <c r="AL18" s="121">
        <f>AK16-AL16</f>
        <v>51735.22</v>
      </c>
      <c r="AO18" s="123"/>
      <c r="AP18" s="123"/>
    </row>
    <row r="19" spans="3:43" ht="14.25" thickTop="1" x14ac:dyDescent="0.25">
      <c r="D19" s="120"/>
      <c r="H19" s="120"/>
      <c r="L19" s="120"/>
      <c r="P19" s="120"/>
      <c r="T19" s="120"/>
      <c r="X19" s="120"/>
      <c r="AB19" s="120"/>
      <c r="AF19" s="120"/>
      <c r="AG19" s="120"/>
      <c r="AK19" s="403"/>
      <c r="AO19" s="111" t="s">
        <v>928</v>
      </c>
      <c r="AQ19" s="211"/>
    </row>
    <row r="20" spans="3:43" x14ac:dyDescent="0.25">
      <c r="D20" s="120"/>
      <c r="H20" s="120"/>
      <c r="L20" s="120"/>
      <c r="P20" s="120"/>
      <c r="T20" s="120"/>
      <c r="X20" s="120"/>
      <c r="AB20" s="120"/>
      <c r="AF20" s="120"/>
      <c r="AG20" s="120"/>
      <c r="AK20" s="403"/>
      <c r="AO20" s="211" t="s">
        <v>1116</v>
      </c>
    </row>
    <row r="21" spans="3:43" x14ac:dyDescent="0.25">
      <c r="D21" s="120"/>
      <c r="H21" s="120"/>
      <c r="L21" s="120"/>
      <c r="P21" s="120"/>
      <c r="T21" s="120"/>
      <c r="X21" s="120"/>
      <c r="AB21" s="120"/>
      <c r="AF21" s="120"/>
      <c r="AG21" s="120"/>
      <c r="AK21" s="403"/>
      <c r="AO21" s="211" t="s">
        <v>1117</v>
      </c>
      <c r="AQ21" s="119"/>
    </row>
    <row r="22" spans="3:43" x14ac:dyDescent="0.25">
      <c r="D22" s="120"/>
      <c r="H22" s="120"/>
      <c r="L22" s="120"/>
      <c r="P22" s="120"/>
      <c r="T22" s="120"/>
      <c r="X22" s="120"/>
      <c r="AB22" s="120"/>
      <c r="AF22" s="120"/>
      <c r="AG22" s="120"/>
      <c r="AK22" s="403"/>
      <c r="AO22" s="211" t="s">
        <v>1118</v>
      </c>
      <c r="AQ22" s="119"/>
    </row>
    <row r="23" spans="3:43" x14ac:dyDescent="0.25">
      <c r="D23" s="120"/>
      <c r="H23" s="120"/>
      <c r="L23" s="120"/>
      <c r="P23" s="120"/>
      <c r="T23" s="120"/>
      <c r="X23" s="120"/>
      <c r="AB23" s="120"/>
      <c r="AF23" s="120"/>
      <c r="AG23" s="120"/>
      <c r="AK23" s="403"/>
      <c r="AO23" s="161" t="s">
        <v>932</v>
      </c>
    </row>
    <row r="24" spans="3:43" x14ac:dyDescent="0.25">
      <c r="D24" s="120"/>
      <c r="H24" s="120"/>
      <c r="L24" s="120"/>
      <c r="P24" s="120"/>
      <c r="T24" s="120"/>
      <c r="X24" s="120"/>
      <c r="AB24" s="120"/>
      <c r="AF24" s="120"/>
      <c r="AG24" s="120"/>
      <c r="AK24" s="403"/>
      <c r="AO24" s="211" t="s">
        <v>1108</v>
      </c>
    </row>
    <row r="25" spans="3:43" x14ac:dyDescent="0.25">
      <c r="D25" s="120"/>
      <c r="H25" s="120"/>
      <c r="L25" s="120"/>
      <c r="P25" s="120"/>
      <c r="T25" s="120"/>
      <c r="X25" s="120"/>
      <c r="AB25" s="120"/>
      <c r="AF25" s="120"/>
      <c r="AG25" s="120"/>
      <c r="AK25" s="403"/>
    </row>
    <row r="26" spans="3:43" x14ac:dyDescent="0.25">
      <c r="D26" s="120"/>
      <c r="H26" s="120"/>
      <c r="L26" s="120"/>
      <c r="P26" s="120"/>
      <c r="T26" s="120"/>
      <c r="X26" s="120"/>
      <c r="AB26" s="120"/>
      <c r="AF26" s="120"/>
      <c r="AG26" s="120"/>
      <c r="AK26" s="403"/>
    </row>
    <row r="27" spans="3:43" x14ac:dyDescent="0.25">
      <c r="D27" s="120"/>
      <c r="H27" s="120"/>
      <c r="L27" s="120"/>
      <c r="P27" s="120"/>
      <c r="T27" s="120"/>
      <c r="X27" s="120"/>
      <c r="AB27" s="120"/>
      <c r="AF27" s="120"/>
      <c r="AG27" s="120"/>
      <c r="AK27" s="403"/>
    </row>
    <row r="28" spans="3:43" x14ac:dyDescent="0.25">
      <c r="D28" s="120"/>
      <c r="H28" s="120"/>
      <c r="L28" s="120"/>
      <c r="P28" s="120"/>
      <c r="T28" s="120"/>
      <c r="X28" s="120"/>
      <c r="AB28" s="120"/>
      <c r="AF28" s="120"/>
      <c r="AG28" s="120"/>
      <c r="AK28" s="403"/>
    </row>
    <row r="29" spans="3:43" x14ac:dyDescent="0.25">
      <c r="D29" s="120"/>
      <c r="H29" s="120"/>
      <c r="L29" s="120"/>
      <c r="P29" s="120"/>
      <c r="T29" s="120"/>
      <c r="X29" s="120"/>
      <c r="AB29" s="120"/>
      <c r="AF29" s="120"/>
      <c r="AG29" s="120"/>
      <c r="AK29" s="403"/>
    </row>
    <row r="30" spans="3:43" x14ac:dyDescent="0.25">
      <c r="D30" s="120"/>
      <c r="H30" s="120"/>
      <c r="L30" s="120"/>
      <c r="P30" s="120"/>
      <c r="T30" s="120"/>
      <c r="X30" s="120"/>
      <c r="AB30" s="120"/>
      <c r="AF30" s="120"/>
      <c r="AG30" s="120"/>
      <c r="AK30" s="403"/>
    </row>
    <row r="31" spans="3:43" x14ac:dyDescent="0.25">
      <c r="D31" s="120"/>
      <c r="H31" s="120"/>
      <c r="L31" s="120"/>
      <c r="P31" s="120"/>
      <c r="T31" s="120"/>
      <c r="X31" s="120"/>
      <c r="AB31" s="120"/>
      <c r="AF31" s="120"/>
      <c r="AG31" s="120"/>
      <c r="AK31" s="403"/>
    </row>
    <row r="32" spans="3:43" x14ac:dyDescent="0.25">
      <c r="D32" s="120"/>
      <c r="H32" s="120"/>
      <c r="L32" s="120"/>
      <c r="P32" s="120"/>
      <c r="T32" s="120"/>
      <c r="X32" s="120"/>
      <c r="AB32" s="120"/>
      <c r="AF32" s="120"/>
      <c r="AG32" s="120"/>
      <c r="AK32" s="403"/>
    </row>
    <row r="33" spans="4:37" x14ac:dyDescent="0.25">
      <c r="D33" s="120"/>
      <c r="H33" s="120"/>
      <c r="L33" s="120"/>
      <c r="P33" s="120"/>
      <c r="T33" s="120"/>
      <c r="X33" s="120"/>
      <c r="AB33" s="120"/>
      <c r="AF33" s="120"/>
      <c r="AG33" s="120"/>
      <c r="AK33" s="403"/>
    </row>
    <row r="34" spans="4:37" x14ac:dyDescent="0.25">
      <c r="D34" s="120"/>
      <c r="H34" s="120"/>
      <c r="L34" s="120"/>
      <c r="P34" s="120"/>
      <c r="T34" s="120"/>
      <c r="X34" s="120"/>
      <c r="AB34" s="120"/>
      <c r="AF34" s="120"/>
      <c r="AG34" s="120"/>
      <c r="AK34" s="403"/>
    </row>
    <row r="35" spans="4:37" x14ac:dyDescent="0.25">
      <c r="D35" s="120"/>
      <c r="H35" s="120"/>
      <c r="L35" s="120"/>
      <c r="P35" s="120"/>
      <c r="T35" s="120"/>
      <c r="X35" s="120"/>
      <c r="AB35" s="120"/>
      <c r="AF35" s="120"/>
      <c r="AG35" s="120"/>
      <c r="AK35" s="403"/>
    </row>
    <row r="36" spans="4:37" x14ac:dyDescent="0.25">
      <c r="D36" s="120"/>
      <c r="H36" s="120"/>
      <c r="L36" s="120"/>
      <c r="P36" s="120"/>
      <c r="T36" s="120"/>
      <c r="X36" s="120"/>
      <c r="AB36" s="120"/>
      <c r="AF36" s="120"/>
      <c r="AG36" s="120"/>
      <c r="AK36" s="403"/>
    </row>
    <row r="37" spans="4:37" x14ac:dyDescent="0.25">
      <c r="D37" s="120"/>
      <c r="H37" s="120"/>
      <c r="L37" s="120"/>
      <c r="P37" s="120"/>
      <c r="T37" s="12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4"/>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sheetData>
  <mergeCells count="11">
    <mergeCell ref="D3:F3"/>
    <mergeCell ref="T3:V3"/>
    <mergeCell ref="X3:Z3"/>
    <mergeCell ref="AB3:AD3"/>
    <mergeCell ref="B4:C4"/>
    <mergeCell ref="AO3:AR3"/>
    <mergeCell ref="AF3:AI3"/>
    <mergeCell ref="P3:R3"/>
    <mergeCell ref="H3:J3"/>
    <mergeCell ref="L3:N3"/>
    <mergeCell ref="AK3:AM3"/>
  </mergeCells>
  <pageMargins left="0.75" right="0.75" top="1" bottom="1" header="0.5" footer="0.5"/>
  <pageSetup paperSize="5" scale="80" orientation="landscape" copies="15" r:id="rId1"/>
  <headerFooter alignWithMargins="0">
    <oddHeader>&amp;C&amp;"-,Bold"Proposed Budget &amp; Analysis Report for FY20</oddHeader>
    <oddFooter>&amp;C&amp;D&amp;T&amp;R&amp;A</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3:AR372"/>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40.85546875" style="161" customWidth="1"/>
    <col min="4" max="5" width="10.5703125" style="211" hidden="1" customWidth="1"/>
    <col min="6" max="6" width="8.140625" style="211" hidden="1" customWidth="1"/>
    <col min="7" max="7" width="1.7109375" style="213" hidden="1" customWidth="1"/>
    <col min="8" max="9" width="10.5703125" style="211" hidden="1" customWidth="1"/>
    <col min="10" max="10" width="8.140625" style="211" hidden="1" customWidth="1"/>
    <col min="11" max="11" width="1.7109375" style="213" hidden="1" customWidth="1"/>
    <col min="12" max="13" width="10.5703125" style="211" hidden="1" customWidth="1"/>
    <col min="14" max="14" width="8.140625" style="211" hidden="1" customWidth="1"/>
    <col min="15" max="15" width="1.7109375" style="213" hidden="1" customWidth="1"/>
    <col min="16" max="17" width="10.5703125" style="211" hidden="1" customWidth="1"/>
    <col min="18" max="18" width="8.140625" style="211" hidden="1" customWidth="1"/>
    <col min="19" max="19" width="1.7109375" style="213" hidden="1" customWidth="1"/>
    <col min="20" max="21" width="10.5703125" style="161" hidden="1" customWidth="1"/>
    <col min="22" max="22" width="8.140625" style="161" hidden="1" customWidth="1"/>
    <col min="23" max="23" width="1.7109375" style="103" hidden="1" customWidth="1"/>
    <col min="24" max="25" width="10.5703125" style="161" hidden="1" customWidth="1"/>
    <col min="26" max="26" width="9.28515625" style="161" hidden="1" customWidth="1"/>
    <col min="27" max="27" width="1.7109375" style="103" hidden="1" customWidth="1"/>
    <col min="28" max="28" width="14.85546875" style="161" bestFit="1" customWidth="1"/>
    <col min="29" max="29" width="10.5703125" style="161" bestFit="1" customWidth="1"/>
    <col min="30" max="30" width="9" style="161" customWidth="1"/>
    <col min="31" max="31" width="2.28515625" style="213" customWidth="1"/>
    <col min="32" max="32" width="11.5703125" style="211" hidden="1" customWidth="1"/>
    <col min="33" max="33" width="11.5703125" style="211" customWidth="1"/>
    <col min="34" max="34" width="10.5703125" style="211" bestFit="1" customWidth="1"/>
    <col min="35" max="35" width="8.5703125" style="211" bestFit="1" customWidth="1"/>
    <col min="36" max="36" width="1.85546875" style="161" customWidth="1"/>
    <col min="37" max="37" width="10.5703125" style="394" bestFit="1" customWidth="1"/>
    <col min="38" max="38" width="11.5703125" style="394" customWidth="1"/>
    <col min="39" max="39" width="9" style="394" customWidth="1"/>
    <col min="40" max="40" width="2.28515625" style="397" customWidth="1"/>
    <col min="41" max="41" width="12" style="104" bestFit="1" customWidth="1"/>
    <col min="42" max="42" width="10.7109375" style="104" bestFit="1" customWidth="1"/>
    <col min="43" max="43" width="8.5703125" style="161" bestFit="1" customWidth="1"/>
    <col min="44" max="44" width="27.5703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1778</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D5" s="112"/>
      <c r="E5" s="112"/>
      <c r="F5" s="216"/>
      <c r="H5" s="112"/>
      <c r="I5" s="112"/>
      <c r="J5" s="216"/>
      <c r="L5" s="112"/>
      <c r="M5" s="112"/>
      <c r="N5" s="216"/>
      <c r="P5" s="112"/>
      <c r="Q5" s="112"/>
      <c r="R5" s="216"/>
      <c r="T5" s="112"/>
      <c r="U5" s="112"/>
      <c r="V5" s="80"/>
      <c r="X5" s="112"/>
      <c r="Y5" s="112"/>
      <c r="Z5" s="80"/>
      <c r="AB5" s="112"/>
      <c r="AC5" s="112"/>
      <c r="AD5" s="80"/>
      <c r="AF5" s="218"/>
      <c r="AG5" s="218"/>
      <c r="AH5" s="112"/>
      <c r="AI5" s="216"/>
      <c r="AJ5" s="4"/>
      <c r="AK5" s="112"/>
      <c r="AL5" s="112"/>
      <c r="AM5" s="396"/>
      <c r="AO5" s="138"/>
      <c r="AP5" s="138"/>
      <c r="AQ5" s="80"/>
    </row>
    <row r="6" spans="1:44" x14ac:dyDescent="0.25">
      <c r="A6" s="111" t="s">
        <v>272</v>
      </c>
      <c r="C6" s="111" t="s">
        <v>277</v>
      </c>
      <c r="D6" s="112"/>
      <c r="E6" s="112"/>
      <c r="F6" s="216"/>
      <c r="H6" s="112"/>
      <c r="I6" s="112"/>
      <c r="J6" s="216"/>
      <c r="L6" s="112"/>
      <c r="M6" s="112"/>
      <c r="N6" s="216"/>
      <c r="P6" s="112"/>
      <c r="Q6" s="112"/>
      <c r="R6" s="216"/>
      <c r="T6" s="112"/>
      <c r="U6" s="112"/>
      <c r="V6" s="80"/>
      <c r="X6" s="112"/>
      <c r="Y6" s="112"/>
      <c r="Z6" s="80"/>
      <c r="AB6" s="112"/>
      <c r="AC6" s="112"/>
      <c r="AD6" s="80"/>
      <c r="AF6" s="218"/>
      <c r="AG6" s="218"/>
      <c r="AH6" s="112"/>
      <c r="AI6" s="216"/>
      <c r="AJ6" s="4"/>
      <c r="AK6" s="112"/>
      <c r="AL6" s="112"/>
      <c r="AM6" s="396"/>
      <c r="AO6" s="138"/>
      <c r="AP6" s="138"/>
      <c r="AQ6" s="80"/>
      <c r="AR6" s="111"/>
    </row>
    <row r="7" spans="1:44" s="211" customFormat="1" x14ac:dyDescent="0.25">
      <c r="A7" s="211" t="s">
        <v>477</v>
      </c>
      <c r="B7" s="214" t="str">
        <f>MID(A7,14,4)</f>
        <v>5210</v>
      </c>
      <c r="C7" s="211" t="s">
        <v>1626</v>
      </c>
      <c r="D7" s="112">
        <v>1200</v>
      </c>
      <c r="E7" s="112">
        <v>272.16000000000003</v>
      </c>
      <c r="F7" s="216"/>
      <c r="G7" s="213"/>
      <c r="H7" s="112">
        <v>2000</v>
      </c>
      <c r="I7" s="112">
        <v>93.15</v>
      </c>
      <c r="J7" s="216"/>
      <c r="K7" s="213"/>
      <c r="L7" s="112">
        <v>11000</v>
      </c>
      <c r="M7" s="112">
        <v>6644.98</v>
      </c>
      <c r="N7" s="216"/>
      <c r="O7" s="213"/>
      <c r="P7" s="112">
        <v>10000</v>
      </c>
      <c r="Q7" s="112">
        <v>8140.13</v>
      </c>
      <c r="R7" s="216"/>
      <c r="S7" s="213"/>
      <c r="T7" s="112">
        <v>11000</v>
      </c>
      <c r="U7" s="112">
        <v>12302.83</v>
      </c>
      <c r="V7" s="216"/>
      <c r="W7" s="213"/>
      <c r="X7" s="112">
        <v>10000</v>
      </c>
      <c r="Y7" s="112">
        <v>0</v>
      </c>
      <c r="Z7" s="216"/>
      <c r="AA7" s="213"/>
      <c r="AB7" s="112">
        <v>10000</v>
      </c>
      <c r="AC7" s="112">
        <v>5279.79</v>
      </c>
      <c r="AD7" s="216"/>
      <c r="AE7" s="213"/>
      <c r="AF7" s="245">
        <v>10000</v>
      </c>
      <c r="AG7" s="245">
        <v>10000</v>
      </c>
      <c r="AH7" s="112">
        <v>2435.89</v>
      </c>
      <c r="AI7" s="216">
        <f>(AG7-AB7)/AB7</f>
        <v>0</v>
      </c>
      <c r="AJ7" s="4"/>
      <c r="AK7" s="112">
        <v>10000</v>
      </c>
      <c r="AL7" s="112">
        <v>694.96</v>
      </c>
      <c r="AM7" s="396">
        <f>(AK7-AG7)/AG7</f>
        <v>0</v>
      </c>
      <c r="AN7" s="397"/>
      <c r="AO7" s="245">
        <v>10000</v>
      </c>
      <c r="AP7" s="398">
        <f t="shared" ref="AP7:AP23" si="0">AO7-AK7</f>
        <v>0</v>
      </c>
      <c r="AQ7" s="396">
        <f>AP7/AK7</f>
        <v>0</v>
      </c>
      <c r="AR7" s="288" t="s">
        <v>986</v>
      </c>
    </row>
    <row r="8" spans="1:44" s="522" customFormat="1" x14ac:dyDescent="0.25">
      <c r="A8" s="522" t="s">
        <v>478</v>
      </c>
      <c r="B8" s="395" t="str">
        <f>MID(A8,14,4)</f>
        <v>5211</v>
      </c>
      <c r="C8" s="522" t="s">
        <v>1628</v>
      </c>
      <c r="D8" s="112">
        <v>1200</v>
      </c>
      <c r="E8" s="112">
        <v>0</v>
      </c>
      <c r="F8" s="396"/>
      <c r="G8" s="397"/>
      <c r="H8" s="112">
        <v>1200</v>
      </c>
      <c r="I8" s="112">
        <v>0</v>
      </c>
      <c r="J8" s="396"/>
      <c r="K8" s="397"/>
      <c r="L8" s="112">
        <v>6800</v>
      </c>
      <c r="M8" s="112">
        <v>7251.06</v>
      </c>
      <c r="N8" s="396"/>
      <c r="O8" s="397"/>
      <c r="P8" s="112">
        <v>6000</v>
      </c>
      <c r="Q8" s="112">
        <v>7326.82</v>
      </c>
      <c r="R8" s="396"/>
      <c r="S8" s="397"/>
      <c r="T8" s="112">
        <v>6000</v>
      </c>
      <c r="U8" s="112">
        <v>5269.02</v>
      </c>
      <c r="V8" s="396"/>
      <c r="W8" s="397"/>
      <c r="X8" s="112">
        <v>7000</v>
      </c>
      <c r="Y8" s="112">
        <v>2828.01</v>
      </c>
      <c r="Z8" s="396"/>
      <c r="AA8" s="397"/>
      <c r="AB8" s="112">
        <v>7000</v>
      </c>
      <c r="AC8" s="112">
        <v>3034.08</v>
      </c>
      <c r="AD8" s="396"/>
      <c r="AE8" s="397"/>
      <c r="AF8" s="398">
        <v>7000</v>
      </c>
      <c r="AG8" s="398">
        <v>7000</v>
      </c>
      <c r="AH8" s="112">
        <v>4462.9399999999996</v>
      </c>
      <c r="AI8" s="396">
        <f>(AG8-AB8)/AB8</f>
        <v>0</v>
      </c>
      <c r="AJ8" s="4"/>
      <c r="AK8" s="112">
        <v>7000</v>
      </c>
      <c r="AL8" s="112">
        <v>1159.95</v>
      </c>
      <c r="AM8" s="396">
        <f>(AK8-AG8)/AG8</f>
        <v>0</v>
      </c>
      <c r="AN8" s="397"/>
      <c r="AO8" s="398">
        <v>5000</v>
      </c>
      <c r="AP8" s="567">
        <f t="shared" si="0"/>
        <v>-2000</v>
      </c>
      <c r="AQ8" s="396">
        <f>AP8/AK8</f>
        <v>-0.2857142857142857</v>
      </c>
      <c r="AR8" s="524" t="s">
        <v>986</v>
      </c>
    </row>
    <row r="9" spans="1:44" s="522" customFormat="1" x14ac:dyDescent="0.25">
      <c r="A9" s="395" t="s">
        <v>2088</v>
      </c>
      <c r="B9" s="395" t="str">
        <f>MID(A9,14,4)</f>
        <v>5241</v>
      </c>
      <c r="C9" s="522" t="s">
        <v>1630</v>
      </c>
      <c r="D9" s="112"/>
      <c r="E9" s="112"/>
      <c r="F9" s="396"/>
      <c r="G9" s="397"/>
      <c r="H9" s="112"/>
      <c r="I9" s="112"/>
      <c r="J9" s="396"/>
      <c r="K9" s="397"/>
      <c r="L9" s="112"/>
      <c r="M9" s="112"/>
      <c r="N9" s="396"/>
      <c r="O9" s="397"/>
      <c r="P9" s="112"/>
      <c r="Q9" s="112"/>
      <c r="R9" s="396"/>
      <c r="S9" s="397"/>
      <c r="T9" s="112"/>
      <c r="U9" s="112"/>
      <c r="V9" s="396"/>
      <c r="W9" s="397"/>
      <c r="X9" s="112"/>
      <c r="Y9" s="112"/>
      <c r="Z9" s="396"/>
      <c r="AA9" s="397"/>
      <c r="AB9" s="112"/>
      <c r="AC9" s="112"/>
      <c r="AD9" s="396"/>
      <c r="AE9" s="397"/>
      <c r="AF9" s="398"/>
      <c r="AG9" s="398"/>
      <c r="AH9" s="112"/>
      <c r="AI9" s="396"/>
      <c r="AJ9" s="4"/>
      <c r="AK9" s="112"/>
      <c r="AL9" s="112"/>
      <c r="AM9" s="396"/>
      <c r="AN9" s="397"/>
      <c r="AO9" s="565">
        <v>6100</v>
      </c>
      <c r="AP9" s="567">
        <f t="shared" si="0"/>
        <v>6100</v>
      </c>
      <c r="AQ9" s="396"/>
      <c r="AR9" s="524" t="s">
        <v>2089</v>
      </c>
    </row>
    <row r="10" spans="1:44" s="522" customFormat="1" x14ac:dyDescent="0.25">
      <c r="A10" s="395" t="s">
        <v>2094</v>
      </c>
      <c r="B10" s="395" t="str">
        <f>MID(A10,14,4)</f>
        <v>5245</v>
      </c>
      <c r="C10" s="566" t="s">
        <v>1633</v>
      </c>
      <c r="D10" s="112"/>
      <c r="E10" s="112"/>
      <c r="F10" s="396"/>
      <c r="G10" s="397"/>
      <c r="H10" s="112"/>
      <c r="I10" s="112"/>
      <c r="J10" s="396"/>
      <c r="K10" s="397"/>
      <c r="L10" s="112"/>
      <c r="M10" s="112"/>
      <c r="N10" s="396"/>
      <c r="O10" s="397"/>
      <c r="P10" s="112"/>
      <c r="Q10" s="112"/>
      <c r="R10" s="396"/>
      <c r="S10" s="397"/>
      <c r="T10" s="112"/>
      <c r="U10" s="112"/>
      <c r="V10" s="396"/>
      <c r="W10" s="397"/>
      <c r="X10" s="112"/>
      <c r="Y10" s="112"/>
      <c r="Z10" s="396"/>
      <c r="AA10" s="397"/>
      <c r="AB10" s="112"/>
      <c r="AC10" s="112"/>
      <c r="AD10" s="396"/>
      <c r="AE10" s="397"/>
      <c r="AF10" s="398"/>
      <c r="AG10" s="398"/>
      <c r="AH10" s="112"/>
      <c r="AI10" s="396"/>
      <c r="AJ10" s="4"/>
      <c r="AK10" s="112"/>
      <c r="AL10" s="112"/>
      <c r="AM10" s="396"/>
      <c r="AN10" s="397"/>
      <c r="AO10" s="565">
        <v>1200</v>
      </c>
      <c r="AP10" s="567">
        <f t="shared" si="0"/>
        <v>1200</v>
      </c>
      <c r="AQ10" s="396"/>
      <c r="AR10" s="524" t="s">
        <v>2090</v>
      </c>
    </row>
    <row r="11" spans="1:44" s="522" customFormat="1" x14ac:dyDescent="0.25">
      <c r="A11" s="568" t="s">
        <v>2095</v>
      </c>
      <c r="B11" s="395" t="str">
        <f>MID(A11,14,4)</f>
        <v>5293</v>
      </c>
      <c r="C11" s="566" t="s">
        <v>1497</v>
      </c>
      <c r="D11" s="112"/>
      <c r="E11" s="112"/>
      <c r="F11" s="396"/>
      <c r="G11" s="397"/>
      <c r="H11" s="112"/>
      <c r="I11" s="112"/>
      <c r="J11" s="396"/>
      <c r="K11" s="397"/>
      <c r="L11" s="112"/>
      <c r="M11" s="112"/>
      <c r="N11" s="396"/>
      <c r="O11" s="397"/>
      <c r="P11" s="112"/>
      <c r="Q11" s="112"/>
      <c r="R11" s="396"/>
      <c r="S11" s="397"/>
      <c r="T11" s="112"/>
      <c r="U11" s="112"/>
      <c r="V11" s="396"/>
      <c r="W11" s="397"/>
      <c r="X11" s="112"/>
      <c r="Y11" s="112"/>
      <c r="Z11" s="396"/>
      <c r="AA11" s="397"/>
      <c r="AB11" s="112"/>
      <c r="AC11" s="112"/>
      <c r="AD11" s="396"/>
      <c r="AE11" s="397"/>
      <c r="AF11" s="398"/>
      <c r="AG11" s="398"/>
      <c r="AH11" s="112"/>
      <c r="AI11" s="396"/>
      <c r="AJ11" s="4"/>
      <c r="AK11" s="112"/>
      <c r="AL11" s="112"/>
      <c r="AM11" s="396"/>
      <c r="AN11" s="397"/>
      <c r="AO11" s="565">
        <v>300</v>
      </c>
      <c r="AP11" s="567">
        <f t="shared" si="0"/>
        <v>300</v>
      </c>
      <c r="AQ11" s="396"/>
      <c r="AR11" s="524" t="s">
        <v>2091</v>
      </c>
    </row>
    <row r="12" spans="1:44" s="211" customFormat="1" x14ac:dyDescent="0.25">
      <c r="A12" s="568" t="s">
        <v>2096</v>
      </c>
      <c r="B12" s="214" t="str">
        <f t="shared" ref="B12:B23" si="1">MID(A12,14,4)</f>
        <v>5341</v>
      </c>
      <c r="C12" s="566" t="s">
        <v>1640</v>
      </c>
      <c r="D12" s="112"/>
      <c r="E12" s="112"/>
      <c r="F12" s="216"/>
      <c r="G12" s="213"/>
      <c r="H12" s="112"/>
      <c r="I12" s="112"/>
      <c r="J12" s="216"/>
      <c r="K12" s="213"/>
      <c r="L12" s="112"/>
      <c r="M12" s="112"/>
      <c r="N12" s="216"/>
      <c r="O12" s="213"/>
      <c r="P12" s="112"/>
      <c r="Q12" s="112"/>
      <c r="R12" s="216"/>
      <c r="S12" s="213"/>
      <c r="T12" s="112"/>
      <c r="U12" s="112"/>
      <c r="V12" s="216"/>
      <c r="W12" s="213"/>
      <c r="X12" s="112"/>
      <c r="Y12" s="112"/>
      <c r="Z12" s="216"/>
      <c r="AA12" s="213"/>
      <c r="AB12" s="112"/>
      <c r="AC12" s="112"/>
      <c r="AD12" s="216"/>
      <c r="AE12" s="213"/>
      <c r="AF12" s="245"/>
      <c r="AG12" s="245"/>
      <c r="AH12" s="112"/>
      <c r="AI12" s="396"/>
      <c r="AJ12" s="4"/>
      <c r="AK12" s="112"/>
      <c r="AL12" s="112"/>
      <c r="AM12" s="396"/>
      <c r="AN12" s="397"/>
      <c r="AO12" s="565">
        <v>2600</v>
      </c>
      <c r="AP12" s="567">
        <f t="shared" si="0"/>
        <v>2600</v>
      </c>
      <c r="AQ12" s="396"/>
      <c r="AR12" s="524" t="s">
        <v>986</v>
      </c>
    </row>
    <row r="13" spans="1:44" s="114" customFormat="1" x14ac:dyDescent="0.25">
      <c r="A13" s="224"/>
      <c r="B13" s="224"/>
      <c r="C13" s="224" t="s">
        <v>2079</v>
      </c>
      <c r="D13" s="225">
        <f>SUM(D7:D12)</f>
        <v>2400</v>
      </c>
      <c r="E13" s="225">
        <f>SUM(E7:E12)</f>
        <v>272.16000000000003</v>
      </c>
      <c r="F13" s="226"/>
      <c r="G13" s="224"/>
      <c r="H13" s="225">
        <f>SUM(H7:H12)</f>
        <v>3200</v>
      </c>
      <c r="I13" s="225">
        <f>SUM(I7:I12)</f>
        <v>93.15</v>
      </c>
      <c r="J13" s="226"/>
      <c r="K13" s="224"/>
      <c r="L13" s="225">
        <f>SUM(L7:L12)</f>
        <v>17800</v>
      </c>
      <c r="M13" s="225">
        <f>SUM(M7:M12)</f>
        <v>13896.04</v>
      </c>
      <c r="N13" s="226"/>
      <c r="O13" s="224"/>
      <c r="P13" s="225">
        <f>SUM(P7:P12)</f>
        <v>16000</v>
      </c>
      <c r="Q13" s="225">
        <f>SUM(Q7:Q12)</f>
        <v>15466.95</v>
      </c>
      <c r="R13" s="226"/>
      <c r="S13" s="224"/>
      <c r="T13" s="225">
        <f>SUM(T7:T12)</f>
        <v>17000</v>
      </c>
      <c r="U13" s="225">
        <f>SUM(U7:U12)</f>
        <v>17571.849999999999</v>
      </c>
      <c r="V13" s="226"/>
      <c r="W13" s="224"/>
      <c r="X13" s="225">
        <f>SUM(X7:X12)</f>
        <v>17000</v>
      </c>
      <c r="Y13" s="225">
        <f>SUM(Y7:Y12)</f>
        <v>2828.01</v>
      </c>
      <c r="Z13" s="226"/>
      <c r="AA13" s="224"/>
      <c r="AB13" s="225">
        <f>SUM(AB7:AB12)</f>
        <v>17000</v>
      </c>
      <c r="AC13" s="225">
        <f>SUM(AC7:AC12)</f>
        <v>8313.869999999999</v>
      </c>
      <c r="AD13" s="226">
        <f>(AB13-X13)/X13</f>
        <v>0</v>
      </c>
      <c r="AE13" s="224"/>
      <c r="AF13" s="227">
        <f>SUM(AF12)</f>
        <v>0</v>
      </c>
      <c r="AG13" s="225">
        <f>SUM(AG7:AG12)</f>
        <v>17000</v>
      </c>
      <c r="AH13" s="225">
        <f>SUM(AH7:AH12)</f>
        <v>6898.83</v>
      </c>
      <c r="AI13" s="226">
        <f>(AG13-AB13)/AB13</f>
        <v>0</v>
      </c>
      <c r="AJ13" s="226"/>
      <c r="AK13" s="225">
        <f>SUM(AK7:AK12)</f>
        <v>17000</v>
      </c>
      <c r="AL13" s="225">
        <f>SUM(AL7:AL12)</f>
        <v>1854.91</v>
      </c>
      <c r="AM13" s="226">
        <f>(AK13-AG13)/AG13</f>
        <v>0</v>
      </c>
      <c r="AN13" s="224"/>
      <c r="AO13" s="225">
        <f>SUM(AO7:AO12)</f>
        <v>25200</v>
      </c>
      <c r="AP13" s="225">
        <f>SUM(AP7:AP12)</f>
        <v>8200</v>
      </c>
      <c r="AQ13" s="226">
        <f>(AO13-AK13)/AK13</f>
        <v>0.4823529411764706</v>
      </c>
      <c r="AR13" s="224"/>
    </row>
    <row r="14" spans="1:44" s="522" customFormat="1" x14ac:dyDescent="0.25">
      <c r="B14" s="395"/>
      <c r="D14" s="112"/>
      <c r="E14" s="112"/>
      <c r="F14" s="396"/>
      <c r="G14" s="397"/>
      <c r="H14" s="112"/>
      <c r="I14" s="112"/>
      <c r="J14" s="396"/>
      <c r="K14" s="397"/>
      <c r="L14" s="112"/>
      <c r="M14" s="112"/>
      <c r="N14" s="396"/>
      <c r="O14" s="397"/>
      <c r="P14" s="112"/>
      <c r="Q14" s="112"/>
      <c r="R14" s="396"/>
      <c r="S14" s="397"/>
      <c r="T14" s="112"/>
      <c r="U14" s="112"/>
      <c r="V14" s="396"/>
      <c r="W14" s="397"/>
      <c r="X14" s="112"/>
      <c r="Y14" s="112"/>
      <c r="Z14" s="396"/>
      <c r="AA14" s="397"/>
      <c r="AB14" s="112"/>
      <c r="AC14" s="112"/>
      <c r="AD14" s="396"/>
      <c r="AE14" s="397"/>
      <c r="AF14" s="398"/>
      <c r="AG14" s="398"/>
      <c r="AH14" s="112"/>
      <c r="AI14" s="396"/>
      <c r="AJ14" s="4"/>
      <c r="AK14" s="112"/>
      <c r="AL14" s="112"/>
      <c r="AM14" s="396"/>
      <c r="AN14" s="397"/>
      <c r="AO14" s="398"/>
      <c r="AP14" s="398"/>
      <c r="AQ14" s="396"/>
      <c r="AR14" s="524"/>
    </row>
    <row r="15" spans="1:44" x14ac:dyDescent="0.25">
      <c r="A15" s="214" t="s">
        <v>1084</v>
      </c>
      <c r="B15" s="214" t="str">
        <f t="shared" si="1"/>
        <v>5212</v>
      </c>
      <c r="C15" s="341" t="s">
        <v>1776</v>
      </c>
      <c r="D15" s="112">
        <v>0</v>
      </c>
      <c r="E15" s="112">
        <v>0</v>
      </c>
      <c r="F15" s="216"/>
      <c r="H15" s="112">
        <v>0</v>
      </c>
      <c r="I15" s="112">
        <v>0</v>
      </c>
      <c r="J15" s="216"/>
      <c r="L15" s="112">
        <v>0</v>
      </c>
      <c r="M15" s="112">
        <v>0</v>
      </c>
      <c r="N15" s="216"/>
      <c r="P15" s="112">
        <v>0</v>
      </c>
      <c r="Q15" s="112">
        <v>0</v>
      </c>
      <c r="R15" s="216"/>
      <c r="T15" s="112">
        <v>0</v>
      </c>
      <c r="U15" s="112">
        <v>1029.3599999999999</v>
      </c>
      <c r="V15" s="216"/>
      <c r="W15" s="213"/>
      <c r="X15" s="112">
        <v>0</v>
      </c>
      <c r="Y15" s="112">
        <v>1881.15</v>
      </c>
      <c r="Z15" s="216"/>
      <c r="AA15" s="213"/>
      <c r="AB15" s="112">
        <v>0</v>
      </c>
      <c r="AC15" s="340">
        <v>698.02</v>
      </c>
      <c r="AD15" s="216"/>
      <c r="AF15" s="245"/>
      <c r="AG15" s="245"/>
      <c r="AH15" s="340">
        <v>112.29</v>
      </c>
      <c r="AI15" s="396" t="e">
        <f t="shared" ref="AI15:AI21" si="2">(AG15-AB15)/AB15</f>
        <v>#DIV/0!</v>
      </c>
      <c r="AJ15" s="4"/>
      <c r="AK15" s="112">
        <v>0</v>
      </c>
      <c r="AL15" s="340">
        <v>112.96</v>
      </c>
      <c r="AM15" s="396" t="e">
        <f>(AK15-AG15)/AG15</f>
        <v>#DIV/0!</v>
      </c>
      <c r="AO15" s="162"/>
      <c r="AP15" s="398">
        <f t="shared" si="0"/>
        <v>0</v>
      </c>
      <c r="AQ15" s="396"/>
      <c r="AR15" s="217" t="s">
        <v>1085</v>
      </c>
    </row>
    <row r="16" spans="1:44" s="211" customFormat="1" x14ac:dyDescent="0.25">
      <c r="A16" s="214" t="s">
        <v>1194</v>
      </c>
      <c r="B16" s="214" t="str">
        <f>MID(A16,14,4)</f>
        <v>5213</v>
      </c>
      <c r="C16" s="341" t="s">
        <v>2139</v>
      </c>
      <c r="D16" s="112">
        <v>0</v>
      </c>
      <c r="E16" s="112">
        <v>0</v>
      </c>
      <c r="F16" s="216"/>
      <c r="G16" s="213"/>
      <c r="H16" s="112">
        <v>0</v>
      </c>
      <c r="I16" s="112">
        <v>0</v>
      </c>
      <c r="J16" s="216"/>
      <c r="K16" s="213"/>
      <c r="L16" s="112">
        <v>0</v>
      </c>
      <c r="M16" s="112">
        <v>0</v>
      </c>
      <c r="N16" s="216"/>
      <c r="O16" s="213"/>
      <c r="P16" s="112">
        <v>0</v>
      </c>
      <c r="Q16" s="112">
        <v>0</v>
      </c>
      <c r="R16" s="216"/>
      <c r="S16" s="213"/>
      <c r="T16" s="112">
        <v>0</v>
      </c>
      <c r="U16" s="112">
        <v>0</v>
      </c>
      <c r="V16" s="216"/>
      <c r="W16" s="213"/>
      <c r="X16" s="112">
        <v>0</v>
      </c>
      <c r="Y16" s="112">
        <v>22653.45</v>
      </c>
      <c r="Z16" s="216"/>
      <c r="AA16" s="213"/>
      <c r="AB16" s="112">
        <v>0</v>
      </c>
      <c r="AC16" s="340">
        <v>11717.01</v>
      </c>
      <c r="AD16" s="216"/>
      <c r="AE16" s="213"/>
      <c r="AF16" s="245"/>
      <c r="AG16" s="245"/>
      <c r="AH16" s="340">
        <v>14116.34</v>
      </c>
      <c r="AI16" s="396" t="e">
        <f t="shared" si="2"/>
        <v>#DIV/0!</v>
      </c>
      <c r="AJ16" s="4"/>
      <c r="AK16" s="112">
        <v>0</v>
      </c>
      <c r="AL16" s="340">
        <v>7854.59</v>
      </c>
      <c r="AM16" s="396" t="e">
        <f>(AK16-AG16)/AG16</f>
        <v>#DIV/0!</v>
      </c>
      <c r="AN16" s="397"/>
      <c r="AO16" s="215"/>
      <c r="AP16" s="398">
        <f t="shared" si="0"/>
        <v>0</v>
      </c>
      <c r="AQ16" s="396"/>
      <c r="AR16" s="217" t="s">
        <v>1086</v>
      </c>
    </row>
    <row r="17" spans="1:44" x14ac:dyDescent="0.25">
      <c r="A17" s="161" t="s">
        <v>479</v>
      </c>
      <c r="B17" s="119" t="str">
        <f t="shared" si="1"/>
        <v>5242</v>
      </c>
      <c r="C17" s="161" t="s">
        <v>1487</v>
      </c>
      <c r="D17" s="112">
        <v>1748.41</v>
      </c>
      <c r="E17" s="112">
        <v>3832.25</v>
      </c>
      <c r="F17" s="216"/>
      <c r="H17" s="112">
        <v>2000</v>
      </c>
      <c r="I17" s="112">
        <v>995</v>
      </c>
      <c r="J17" s="216"/>
      <c r="L17" s="112">
        <v>3000</v>
      </c>
      <c r="M17" s="112">
        <v>875</v>
      </c>
      <c r="N17" s="216"/>
      <c r="P17" s="112">
        <v>2000</v>
      </c>
      <c r="Q17" s="112">
        <v>625</v>
      </c>
      <c r="R17" s="216"/>
      <c r="T17" s="112">
        <v>2000</v>
      </c>
      <c r="U17" s="112">
        <v>3000</v>
      </c>
      <c r="V17" s="216"/>
      <c r="W17" s="213"/>
      <c r="X17" s="112">
        <v>2000</v>
      </c>
      <c r="Y17" s="112">
        <v>2125</v>
      </c>
      <c r="Z17" s="216"/>
      <c r="AA17" s="213"/>
      <c r="AB17" s="112">
        <v>2000</v>
      </c>
      <c r="AC17" s="112">
        <v>0</v>
      </c>
      <c r="AD17" s="216"/>
      <c r="AF17" s="245">
        <v>2000</v>
      </c>
      <c r="AG17" s="245">
        <v>2000</v>
      </c>
      <c r="AH17" s="112">
        <v>0</v>
      </c>
      <c r="AI17" s="396">
        <f t="shared" si="2"/>
        <v>0</v>
      </c>
      <c r="AJ17" s="4"/>
      <c r="AK17" s="112">
        <v>2000</v>
      </c>
      <c r="AL17" s="112">
        <v>0</v>
      </c>
      <c r="AM17" s="396">
        <f>(AK17-AG17)/AG17</f>
        <v>0</v>
      </c>
      <c r="AO17" s="162">
        <v>2000</v>
      </c>
      <c r="AP17" s="398">
        <f t="shared" si="0"/>
        <v>0</v>
      </c>
      <c r="AQ17" s="396">
        <f>AP17/AK17</f>
        <v>0</v>
      </c>
      <c r="AR17" s="166"/>
    </row>
    <row r="18" spans="1:44" s="394" customFormat="1" x14ac:dyDescent="0.25">
      <c r="A18" s="395" t="s">
        <v>1967</v>
      </c>
      <c r="B18" s="395" t="str">
        <f t="shared" si="1"/>
        <v>5399</v>
      </c>
      <c r="C18" s="394" t="s">
        <v>1602</v>
      </c>
      <c r="D18" s="112"/>
      <c r="E18" s="112"/>
      <c r="F18" s="396"/>
      <c r="G18" s="397"/>
      <c r="H18" s="112"/>
      <c r="I18" s="112"/>
      <c r="J18" s="396"/>
      <c r="K18" s="397"/>
      <c r="L18" s="112"/>
      <c r="M18" s="112"/>
      <c r="N18" s="396"/>
      <c r="O18" s="397"/>
      <c r="P18" s="112"/>
      <c r="Q18" s="112"/>
      <c r="R18" s="396"/>
      <c r="S18" s="397"/>
      <c r="T18" s="112"/>
      <c r="U18" s="112"/>
      <c r="V18" s="396"/>
      <c r="W18" s="397"/>
      <c r="X18" s="112"/>
      <c r="Y18" s="112"/>
      <c r="Z18" s="396"/>
      <c r="AA18" s="397"/>
      <c r="AB18" s="112"/>
      <c r="AC18" s="112"/>
      <c r="AD18" s="396"/>
      <c r="AE18" s="397"/>
      <c r="AF18" s="398"/>
      <c r="AG18" s="398"/>
      <c r="AH18" s="112"/>
      <c r="AI18" s="396"/>
      <c r="AJ18" s="4"/>
      <c r="AK18" s="321">
        <v>1800</v>
      </c>
      <c r="AL18" s="112">
        <v>375</v>
      </c>
      <c r="AM18" s="396"/>
      <c r="AN18" s="397"/>
      <c r="AO18" s="398"/>
      <c r="AP18" s="398">
        <f t="shared" si="0"/>
        <v>-1800</v>
      </c>
      <c r="AQ18" s="396"/>
      <c r="AR18" s="400"/>
    </row>
    <row r="19" spans="1:44" x14ac:dyDescent="0.25">
      <c r="A19" s="161" t="s">
        <v>480</v>
      </c>
      <c r="B19" s="119" t="str">
        <f t="shared" si="1"/>
        <v>5430</v>
      </c>
      <c r="C19" s="161" t="s">
        <v>1673</v>
      </c>
      <c r="D19" s="112">
        <v>0</v>
      </c>
      <c r="E19" s="112">
        <v>44</v>
      </c>
      <c r="F19" s="216"/>
      <c r="H19" s="112">
        <v>1000</v>
      </c>
      <c r="I19" s="112">
        <v>0</v>
      </c>
      <c r="J19" s="216"/>
      <c r="L19" s="112">
        <v>1000</v>
      </c>
      <c r="M19" s="112">
        <v>0</v>
      </c>
      <c r="N19" s="216"/>
      <c r="P19" s="112">
        <v>1000</v>
      </c>
      <c r="Q19" s="112">
        <v>0</v>
      </c>
      <c r="R19" s="216"/>
      <c r="T19" s="112">
        <v>1000</v>
      </c>
      <c r="U19" s="112">
        <v>0</v>
      </c>
      <c r="V19" s="216"/>
      <c r="W19" s="213"/>
      <c r="X19" s="112">
        <v>1000</v>
      </c>
      <c r="Y19" s="112">
        <v>0</v>
      </c>
      <c r="Z19" s="216"/>
      <c r="AA19" s="213"/>
      <c r="AB19" s="112">
        <v>1000</v>
      </c>
      <c r="AC19" s="112">
        <v>0</v>
      </c>
      <c r="AD19" s="216"/>
      <c r="AF19" s="245">
        <v>1000</v>
      </c>
      <c r="AG19" s="245">
        <v>1000</v>
      </c>
      <c r="AH19" s="112">
        <v>0</v>
      </c>
      <c r="AI19" s="396">
        <f t="shared" si="2"/>
        <v>0</v>
      </c>
      <c r="AJ19" s="4"/>
      <c r="AK19" s="112">
        <v>1000</v>
      </c>
      <c r="AL19" s="112">
        <v>0</v>
      </c>
      <c r="AM19" s="396">
        <f>(AK19-AG19)/AG19</f>
        <v>0</v>
      </c>
      <c r="AO19" s="162">
        <v>1000</v>
      </c>
      <c r="AP19" s="398">
        <f t="shared" si="0"/>
        <v>0</v>
      </c>
      <c r="AQ19" s="396">
        <f>AP19/AK19</f>
        <v>0</v>
      </c>
      <c r="AR19" s="166"/>
    </row>
    <row r="20" spans="1:44" s="397" customFormat="1" x14ac:dyDescent="0.25">
      <c r="A20" s="161" t="s">
        <v>481</v>
      </c>
      <c r="B20" s="119" t="str">
        <f t="shared" si="1"/>
        <v>5450</v>
      </c>
      <c r="C20" s="161" t="s">
        <v>1644</v>
      </c>
      <c r="D20" s="112">
        <v>0</v>
      </c>
      <c r="E20" s="112">
        <v>0</v>
      </c>
      <c r="F20" s="216"/>
      <c r="G20" s="213"/>
      <c r="H20" s="112">
        <v>100</v>
      </c>
      <c r="I20" s="112">
        <v>0</v>
      </c>
      <c r="J20" s="216"/>
      <c r="K20" s="213"/>
      <c r="L20" s="112">
        <v>100</v>
      </c>
      <c r="M20" s="112">
        <v>0</v>
      </c>
      <c r="N20" s="216"/>
      <c r="O20" s="213"/>
      <c r="P20" s="112">
        <v>100</v>
      </c>
      <c r="Q20" s="112">
        <v>0</v>
      </c>
      <c r="R20" s="216"/>
      <c r="S20" s="213"/>
      <c r="T20" s="112">
        <v>100</v>
      </c>
      <c r="U20" s="112">
        <v>0</v>
      </c>
      <c r="V20" s="216"/>
      <c r="W20" s="213"/>
      <c r="X20" s="112">
        <v>100</v>
      </c>
      <c r="Y20" s="112">
        <v>0</v>
      </c>
      <c r="Z20" s="216"/>
      <c r="AA20" s="213"/>
      <c r="AB20" s="112">
        <v>100</v>
      </c>
      <c r="AC20" s="112">
        <v>0</v>
      </c>
      <c r="AD20" s="216"/>
      <c r="AE20" s="213"/>
      <c r="AF20" s="245">
        <v>100</v>
      </c>
      <c r="AG20" s="245">
        <v>100</v>
      </c>
      <c r="AH20" s="112">
        <v>0</v>
      </c>
      <c r="AI20" s="396">
        <f t="shared" si="2"/>
        <v>0</v>
      </c>
      <c r="AJ20" s="4"/>
      <c r="AK20" s="112">
        <v>100</v>
      </c>
      <c r="AL20" s="112">
        <v>32.799999999999997</v>
      </c>
      <c r="AM20" s="396">
        <f>(AK20-AG20)/AG20</f>
        <v>0</v>
      </c>
      <c r="AO20" s="162">
        <v>100</v>
      </c>
      <c r="AP20" s="398">
        <f t="shared" si="0"/>
        <v>0</v>
      </c>
      <c r="AQ20" s="396">
        <f>AP20/AK20</f>
        <v>0</v>
      </c>
      <c r="AR20" s="166"/>
    </row>
    <row r="21" spans="1:44" s="397" customFormat="1" x14ac:dyDescent="0.25">
      <c r="A21" s="394" t="s">
        <v>1327</v>
      </c>
      <c r="B21" s="395" t="str">
        <f>MID(A21,14,4)</f>
        <v>5534</v>
      </c>
      <c r="C21" s="394" t="s">
        <v>1777</v>
      </c>
      <c r="D21" s="112">
        <v>0</v>
      </c>
      <c r="E21" s="112">
        <v>0</v>
      </c>
      <c r="F21" s="216"/>
      <c r="G21" s="213"/>
      <c r="H21" s="112">
        <v>0</v>
      </c>
      <c r="I21" s="112">
        <v>0</v>
      </c>
      <c r="J21" s="216"/>
      <c r="K21" s="213"/>
      <c r="L21" s="112">
        <v>0</v>
      </c>
      <c r="M21" s="112">
        <v>0</v>
      </c>
      <c r="N21" s="216"/>
      <c r="O21" s="213"/>
      <c r="P21" s="112">
        <v>0</v>
      </c>
      <c r="Q21" s="112">
        <v>0</v>
      </c>
      <c r="R21" s="216"/>
      <c r="S21" s="213"/>
      <c r="T21" s="112">
        <v>0</v>
      </c>
      <c r="U21" s="112">
        <v>0</v>
      </c>
      <c r="V21" s="216"/>
      <c r="W21" s="213"/>
      <c r="X21" s="112">
        <v>0</v>
      </c>
      <c r="Y21" s="112">
        <v>0</v>
      </c>
      <c r="Z21" s="216"/>
      <c r="AA21" s="213"/>
      <c r="AB21" s="112">
        <v>0</v>
      </c>
      <c r="AC21" s="112">
        <v>0</v>
      </c>
      <c r="AD21" s="216"/>
      <c r="AF21" s="321">
        <v>2133</v>
      </c>
      <c r="AG21" s="321">
        <v>2133</v>
      </c>
      <c r="AH21" s="112">
        <v>0</v>
      </c>
      <c r="AI21" s="396" t="e">
        <f t="shared" si="2"/>
        <v>#DIV/0!</v>
      </c>
      <c r="AJ21" s="4"/>
      <c r="AK21" s="112">
        <v>2133</v>
      </c>
      <c r="AL21" s="112">
        <v>1000</v>
      </c>
      <c r="AM21" s="396">
        <f>(AK21-AG21)/AG21</f>
        <v>0</v>
      </c>
      <c r="AO21" s="398">
        <v>2133</v>
      </c>
      <c r="AP21" s="398">
        <f t="shared" si="0"/>
        <v>0</v>
      </c>
      <c r="AQ21" s="396">
        <f>AP21/AK21</f>
        <v>0</v>
      </c>
      <c r="AR21" s="400" t="s">
        <v>1779</v>
      </c>
    </row>
    <row r="22" spans="1:44" s="397" customFormat="1" x14ac:dyDescent="0.25">
      <c r="A22" s="395" t="s">
        <v>2075</v>
      </c>
      <c r="B22" s="395" t="str">
        <f>MID(A22,14,4)</f>
        <v>5535</v>
      </c>
      <c r="C22" s="522" t="s">
        <v>2076</v>
      </c>
      <c r="D22" s="112"/>
      <c r="E22" s="112"/>
      <c r="F22" s="396"/>
      <c r="H22" s="112"/>
      <c r="I22" s="112"/>
      <c r="J22" s="396"/>
      <c r="L22" s="112"/>
      <c r="M22" s="112"/>
      <c r="N22" s="396"/>
      <c r="P22" s="112"/>
      <c r="Q22" s="112"/>
      <c r="R22" s="396"/>
      <c r="T22" s="112"/>
      <c r="U22" s="112"/>
      <c r="V22" s="396"/>
      <c r="X22" s="112"/>
      <c r="Y22" s="112"/>
      <c r="Z22" s="396"/>
      <c r="AB22" s="112"/>
      <c r="AC22" s="112"/>
      <c r="AD22" s="396"/>
      <c r="AF22" s="321"/>
      <c r="AG22" s="398"/>
      <c r="AH22" s="112"/>
      <c r="AI22" s="396"/>
      <c r="AJ22" s="4"/>
      <c r="AK22" s="321"/>
      <c r="AL22" s="112"/>
      <c r="AM22" s="396"/>
      <c r="AO22" s="398">
        <v>2000</v>
      </c>
      <c r="AP22" s="398">
        <f t="shared" si="0"/>
        <v>2000</v>
      </c>
      <c r="AQ22" s="396"/>
      <c r="AR22" s="524" t="s">
        <v>2077</v>
      </c>
    </row>
    <row r="23" spans="1:44" s="397" customFormat="1" x14ac:dyDescent="0.25">
      <c r="A23" s="161" t="s">
        <v>482</v>
      </c>
      <c r="B23" s="119" t="str">
        <f t="shared" si="1"/>
        <v>5850</v>
      </c>
      <c r="C23" s="161" t="s">
        <v>1674</v>
      </c>
      <c r="D23" s="112">
        <v>0</v>
      </c>
      <c r="E23" s="112">
        <v>0</v>
      </c>
      <c r="F23" s="216"/>
      <c r="G23" s="213"/>
      <c r="H23" s="112">
        <v>200</v>
      </c>
      <c r="I23" s="112">
        <v>172.9</v>
      </c>
      <c r="J23" s="216"/>
      <c r="K23" s="213"/>
      <c r="L23" s="112">
        <v>200</v>
      </c>
      <c r="M23" s="112">
        <v>0</v>
      </c>
      <c r="N23" s="216"/>
      <c r="O23" s="213"/>
      <c r="P23" s="112">
        <v>100</v>
      </c>
      <c r="Q23" s="112">
        <v>0</v>
      </c>
      <c r="R23" s="216"/>
      <c r="S23" s="213"/>
      <c r="T23" s="112">
        <v>100</v>
      </c>
      <c r="U23" s="112">
        <v>0</v>
      </c>
      <c r="V23" s="216"/>
      <c r="W23" s="213"/>
      <c r="X23" s="112">
        <v>100</v>
      </c>
      <c r="Y23" s="112">
        <v>0</v>
      </c>
      <c r="Z23" s="216"/>
      <c r="AA23" s="213"/>
      <c r="AB23" s="112">
        <v>100</v>
      </c>
      <c r="AC23" s="112">
        <v>0</v>
      </c>
      <c r="AD23" s="216"/>
      <c r="AE23" s="213"/>
      <c r="AF23" s="245">
        <v>100</v>
      </c>
      <c r="AG23" s="245">
        <v>100</v>
      </c>
      <c r="AH23" s="112">
        <v>0</v>
      </c>
      <c r="AI23" s="216">
        <f>(AG23-AB23)/AB23</f>
        <v>0</v>
      </c>
      <c r="AJ23" s="4"/>
      <c r="AK23" s="112">
        <v>100</v>
      </c>
      <c r="AL23" s="112">
        <v>0</v>
      </c>
      <c r="AM23" s="396">
        <f>(AK23-AG23)/AG23</f>
        <v>0</v>
      </c>
      <c r="AO23" s="162">
        <v>100</v>
      </c>
      <c r="AP23" s="398">
        <f t="shared" si="0"/>
        <v>0</v>
      </c>
      <c r="AQ23" s="216">
        <f>AP23/AK23</f>
        <v>0</v>
      </c>
      <c r="AR23" s="166"/>
    </row>
    <row r="24" spans="1:44" s="118" customFormat="1" x14ac:dyDescent="0.25">
      <c r="A24" s="219"/>
      <c r="B24" s="219"/>
      <c r="C24" s="219" t="s">
        <v>2078</v>
      </c>
      <c r="D24" s="220">
        <f>SUM(D15:D23)</f>
        <v>1748.41</v>
      </c>
      <c r="E24" s="401">
        <f>SUM(E15:E23)</f>
        <v>3876.25</v>
      </c>
      <c r="F24" s="221">
        <v>2.4</v>
      </c>
      <c r="G24" s="219"/>
      <c r="H24" s="401">
        <f>SUM(H15:H23)</f>
        <v>3300</v>
      </c>
      <c r="I24" s="401">
        <f>SUM(I15:I23)</f>
        <v>1167.9000000000001</v>
      </c>
      <c r="J24" s="221">
        <v>2.4</v>
      </c>
      <c r="K24" s="219"/>
      <c r="L24" s="401">
        <f>SUM(L15:L23)</f>
        <v>4300</v>
      </c>
      <c r="M24" s="401">
        <f>SUM(M15:M23)</f>
        <v>875</v>
      </c>
      <c r="N24" s="221">
        <v>2.4</v>
      </c>
      <c r="O24" s="219"/>
      <c r="P24" s="401">
        <f>SUM(P15:P23)</f>
        <v>3200</v>
      </c>
      <c r="Q24" s="401">
        <f>SUM(Q15:Q23)</f>
        <v>625</v>
      </c>
      <c r="R24" s="221">
        <v>2.4</v>
      </c>
      <c r="S24" s="219"/>
      <c r="T24" s="401">
        <f>SUM(T15:T23)</f>
        <v>3200</v>
      </c>
      <c r="U24" s="401">
        <f>SUM(U15:U23)</f>
        <v>4029.3599999999997</v>
      </c>
      <c r="V24" s="221">
        <v>2.4</v>
      </c>
      <c r="W24" s="219"/>
      <c r="X24" s="401">
        <f>SUM(X15:X23)</f>
        <v>3200</v>
      </c>
      <c r="Y24" s="401">
        <f>SUM(Y15:Y23)</f>
        <v>26659.600000000002</v>
      </c>
      <c r="Z24" s="222">
        <f>(X24-T24)/T24</f>
        <v>0</v>
      </c>
      <c r="AA24" s="219"/>
      <c r="AB24" s="401">
        <f>SUM(AB15:AB23)</f>
        <v>3200</v>
      </c>
      <c r="AC24" s="401">
        <f>SUM(AC15:AC23)</f>
        <v>12415.03</v>
      </c>
      <c r="AD24" s="221">
        <f>(AB24-X24)/X24</f>
        <v>0</v>
      </c>
      <c r="AE24" s="219"/>
      <c r="AF24" s="220">
        <f>SUM(AF7:AF23)</f>
        <v>22333</v>
      </c>
      <c r="AG24" s="401">
        <f>SUM(AG15:AG23)</f>
        <v>5333</v>
      </c>
      <c r="AH24" s="401">
        <f>SUM(AH15:AH23)</f>
        <v>14228.630000000001</v>
      </c>
      <c r="AI24" s="221">
        <f>(AG24-AB24)/AB24</f>
        <v>0.66656249999999995</v>
      </c>
      <c r="AJ24" s="221"/>
      <c r="AK24" s="401">
        <f>SUM(AK15:AK23)</f>
        <v>7133</v>
      </c>
      <c r="AL24" s="401">
        <f>SUM(AL15:AL23)</f>
        <v>9375.3499999999985</v>
      </c>
      <c r="AM24" s="221">
        <f>(AK24-AG24)/AG24</f>
        <v>0.3375210950684418</v>
      </c>
      <c r="AN24" s="219"/>
      <c r="AO24" s="401">
        <f>SUM(AO15:AO23)</f>
        <v>7333</v>
      </c>
      <c r="AP24" s="401">
        <f>SUM(AP15:AP23)</f>
        <v>200</v>
      </c>
      <c r="AQ24" s="221">
        <f>AP24/AK24</f>
        <v>2.8038693396887707E-2</v>
      </c>
      <c r="AR24" s="219"/>
    </row>
    <row r="25" spans="1:44" s="397" customFormat="1" x14ac:dyDescent="0.25">
      <c r="A25" s="211"/>
      <c r="B25" s="211"/>
      <c r="C25" s="211"/>
      <c r="D25" s="112"/>
      <c r="E25" s="112"/>
      <c r="F25" s="216"/>
      <c r="G25" s="213"/>
      <c r="H25" s="112"/>
      <c r="I25" s="112"/>
      <c r="J25" s="216"/>
      <c r="K25" s="213"/>
      <c r="L25" s="112"/>
      <c r="M25" s="112"/>
      <c r="N25" s="216"/>
      <c r="O25" s="213"/>
      <c r="P25" s="112"/>
      <c r="Q25" s="112"/>
      <c r="R25" s="216"/>
      <c r="S25" s="213"/>
      <c r="T25" s="112"/>
      <c r="U25" s="112"/>
      <c r="V25" s="216"/>
      <c r="W25" s="213"/>
      <c r="X25" s="112"/>
      <c r="Y25" s="112"/>
      <c r="Z25" s="216"/>
      <c r="AA25" s="213"/>
      <c r="AB25" s="112"/>
      <c r="AC25" s="112"/>
      <c r="AD25" s="216"/>
      <c r="AE25" s="213"/>
      <c r="AF25" s="112"/>
      <c r="AG25" s="112"/>
      <c r="AH25" s="112"/>
      <c r="AI25" s="216"/>
      <c r="AJ25" s="216"/>
      <c r="AK25" s="112"/>
      <c r="AL25" s="112"/>
      <c r="AM25" s="396"/>
      <c r="AO25" s="112"/>
      <c r="AP25" s="112"/>
      <c r="AQ25" s="216"/>
      <c r="AR25" s="211"/>
    </row>
    <row r="26" spans="1:44" s="118" customFormat="1" ht="12.75" x14ac:dyDescent="0.2">
      <c r="A26" s="228"/>
      <c r="B26" s="228"/>
      <c r="C26" s="233" t="s">
        <v>280</v>
      </c>
      <c r="D26" s="230">
        <f>D13+D24</f>
        <v>4148.41</v>
      </c>
      <c r="E26" s="402">
        <f>E13+E24</f>
        <v>4148.41</v>
      </c>
      <c r="F26" s="231">
        <v>2.4</v>
      </c>
      <c r="G26" s="228"/>
      <c r="H26" s="402">
        <f>H13+H24</f>
        <v>6500</v>
      </c>
      <c r="I26" s="402">
        <f>I13+I24</f>
        <v>1261.0500000000002</v>
      </c>
      <c r="J26" s="231">
        <v>2.4</v>
      </c>
      <c r="K26" s="228"/>
      <c r="L26" s="402">
        <f>L13+L24</f>
        <v>22100</v>
      </c>
      <c r="M26" s="402">
        <f>M13+M24</f>
        <v>14771.04</v>
      </c>
      <c r="N26" s="231">
        <v>2.4</v>
      </c>
      <c r="O26" s="228"/>
      <c r="P26" s="402">
        <f>P13+P24</f>
        <v>19200</v>
      </c>
      <c r="Q26" s="402">
        <f>Q13+Q24</f>
        <v>16091.95</v>
      </c>
      <c r="R26" s="231">
        <v>2.4</v>
      </c>
      <c r="S26" s="228"/>
      <c r="T26" s="402">
        <f>T13+T24</f>
        <v>20200</v>
      </c>
      <c r="U26" s="402">
        <f>U13+U24</f>
        <v>21601.21</v>
      </c>
      <c r="V26" s="231">
        <v>2.4</v>
      </c>
      <c r="W26" s="228"/>
      <c r="X26" s="402">
        <f>X13+X24</f>
        <v>20200</v>
      </c>
      <c r="Y26" s="402">
        <f>Y13+Y24</f>
        <v>29487.61</v>
      </c>
      <c r="Z26" s="231">
        <f>(X26-T26)/T26</f>
        <v>0</v>
      </c>
      <c r="AA26" s="228"/>
      <c r="AB26" s="402">
        <f>AB13+AB24</f>
        <v>20200</v>
      </c>
      <c r="AC26" s="402">
        <f>AC13+AC24</f>
        <v>20728.900000000001</v>
      </c>
      <c r="AD26" s="231">
        <f>(AB26-X26)/X26</f>
        <v>0</v>
      </c>
      <c r="AE26" s="228"/>
      <c r="AF26" s="230" t="e">
        <f>#REF!+AF24</f>
        <v>#REF!</v>
      </c>
      <c r="AG26" s="402">
        <f>AG13+AG24</f>
        <v>22333</v>
      </c>
      <c r="AH26" s="402">
        <f>AH13+AH24</f>
        <v>21127.46</v>
      </c>
      <c r="AI26" s="231">
        <f>(AG26-AB26)/AB26</f>
        <v>0.10559405940594059</v>
      </c>
      <c r="AJ26" s="231"/>
      <c r="AK26" s="402">
        <f>AK13+AK24</f>
        <v>24133</v>
      </c>
      <c r="AL26" s="402">
        <f>AL13+AL24</f>
        <v>11230.259999999998</v>
      </c>
      <c r="AM26" s="231">
        <f>(AK26-AG26)/AG26</f>
        <v>8.0598217883849008E-2</v>
      </c>
      <c r="AN26" s="228"/>
      <c r="AO26" s="402">
        <f>AO13+AO24</f>
        <v>32533</v>
      </c>
      <c r="AP26" s="402">
        <f>AP13+AP24</f>
        <v>8400</v>
      </c>
      <c r="AQ26" s="231">
        <f>AP26/AK26</f>
        <v>0.34807110595450214</v>
      </c>
      <c r="AR26" s="233"/>
    </row>
    <row r="27" spans="1:44" x14ac:dyDescent="0.25">
      <c r="D27" s="120"/>
      <c r="H27" s="120"/>
      <c r="L27" s="120"/>
      <c r="P27" s="120"/>
      <c r="T27" s="120"/>
      <c r="X27" s="120"/>
      <c r="AB27" s="120"/>
      <c r="AF27" s="120"/>
      <c r="AG27" s="120"/>
      <c r="AK27" s="403"/>
      <c r="AP27" s="161"/>
      <c r="AQ27" s="211"/>
    </row>
    <row r="28" spans="1:44" s="111" customFormat="1" ht="14.25" thickBot="1" x14ac:dyDescent="0.3">
      <c r="C28" s="111" t="s">
        <v>281</v>
      </c>
      <c r="D28" s="122"/>
      <c r="E28" s="121">
        <f>D26-E26</f>
        <v>0</v>
      </c>
      <c r="G28" s="118"/>
      <c r="H28" s="122"/>
      <c r="I28" s="121">
        <f>H26-I26</f>
        <v>5238.95</v>
      </c>
      <c r="K28" s="118"/>
      <c r="L28" s="122"/>
      <c r="M28" s="121">
        <f>L26-M26</f>
        <v>7328.9599999999991</v>
      </c>
      <c r="O28" s="118"/>
      <c r="P28" s="122"/>
      <c r="Q28" s="121">
        <f>P26-Q26</f>
        <v>3108.0499999999993</v>
      </c>
      <c r="S28" s="118"/>
      <c r="T28" s="122"/>
      <c r="U28" s="121">
        <f>T26-U26</f>
        <v>-1401.2099999999991</v>
      </c>
      <c r="W28" s="118"/>
      <c r="X28" s="122"/>
      <c r="Y28" s="121">
        <f>X26-Y26</f>
        <v>-9287.61</v>
      </c>
      <c r="AA28" s="118"/>
      <c r="AB28" s="122"/>
      <c r="AC28" s="121">
        <f>AB26-AC26</f>
        <v>-528.90000000000146</v>
      </c>
      <c r="AE28" s="118"/>
      <c r="AF28" s="122"/>
      <c r="AG28" s="122"/>
      <c r="AH28" s="121">
        <f>AG26-AH26</f>
        <v>1205.5400000000009</v>
      </c>
      <c r="AK28" s="122"/>
      <c r="AL28" s="121">
        <f>AK26-AL26</f>
        <v>12902.740000000002</v>
      </c>
      <c r="AN28" s="118"/>
      <c r="AO28" s="123"/>
      <c r="AP28" s="522"/>
    </row>
    <row r="29" spans="1:44" ht="14.25" thickTop="1" x14ac:dyDescent="0.25">
      <c r="D29" s="120"/>
      <c r="F29" s="216"/>
      <c r="H29" s="120"/>
      <c r="J29" s="216"/>
      <c r="L29" s="120"/>
      <c r="N29" s="216"/>
      <c r="P29" s="120"/>
      <c r="R29" s="216"/>
      <c r="T29" s="120"/>
      <c r="V29" s="80"/>
      <c r="X29" s="120"/>
      <c r="AB29" s="120"/>
      <c r="AF29" s="120"/>
      <c r="AG29" s="120"/>
      <c r="AK29" s="403"/>
      <c r="AP29" s="161"/>
    </row>
    <row r="30" spans="1:44" s="211" customFormat="1" x14ac:dyDescent="0.25">
      <c r="A30" s="214"/>
      <c r="B30" s="214"/>
      <c r="D30" s="112"/>
      <c r="E30" s="112"/>
      <c r="F30" s="216"/>
      <c r="G30" s="213"/>
      <c r="H30" s="112"/>
      <c r="I30" s="112"/>
      <c r="J30" s="216"/>
      <c r="K30" s="213"/>
      <c r="L30" s="112"/>
      <c r="M30" s="112"/>
      <c r="N30" s="216"/>
      <c r="O30" s="213"/>
      <c r="P30" s="112"/>
      <c r="Q30" s="112"/>
      <c r="R30" s="216"/>
      <c r="S30" s="213"/>
      <c r="T30" s="112"/>
      <c r="U30" s="112"/>
      <c r="V30" s="216"/>
      <c r="W30" s="213"/>
      <c r="X30" s="112"/>
      <c r="Y30" s="112"/>
      <c r="Z30" s="216"/>
      <c r="AA30" s="213"/>
      <c r="AB30" s="112"/>
      <c r="AC30" s="112"/>
      <c r="AD30" s="216"/>
      <c r="AE30" s="213"/>
      <c r="AF30" s="112"/>
      <c r="AG30" s="112"/>
      <c r="AH30" s="112"/>
      <c r="AI30" s="216"/>
      <c r="AJ30" s="216"/>
      <c r="AK30" s="112"/>
      <c r="AL30" s="112"/>
      <c r="AM30" s="396"/>
      <c r="AN30" s="397"/>
      <c r="AO30" s="245"/>
      <c r="AP30" s="245">
        <f>AO30-AG30</f>
        <v>0</v>
      </c>
      <c r="AQ30" s="216"/>
      <c r="AR30" s="566"/>
    </row>
    <row r="31" spans="1:44" s="211" customFormat="1" x14ac:dyDescent="0.25">
      <c r="A31" s="214" t="s">
        <v>440</v>
      </c>
      <c r="B31" s="757" t="str">
        <f>MID(A31,14,4)</f>
        <v>5210</v>
      </c>
      <c r="C31" s="758" t="s">
        <v>2140</v>
      </c>
      <c r="D31" s="759">
        <v>7500</v>
      </c>
      <c r="E31" s="759">
        <v>7483.43</v>
      </c>
      <c r="F31" s="760"/>
      <c r="G31" s="761"/>
      <c r="H31" s="759">
        <v>8500</v>
      </c>
      <c r="I31" s="759">
        <v>6721.78</v>
      </c>
      <c r="J31" s="760"/>
      <c r="K31" s="761"/>
      <c r="L31" s="759">
        <v>8800</v>
      </c>
      <c r="M31" s="759">
        <v>6361.81</v>
      </c>
      <c r="N31" s="760"/>
      <c r="O31" s="761"/>
      <c r="P31" s="759">
        <v>6900</v>
      </c>
      <c r="Q31" s="759">
        <v>7042.73</v>
      </c>
      <c r="R31" s="760"/>
      <c r="S31" s="761"/>
      <c r="T31" s="759">
        <v>7000</v>
      </c>
      <c r="U31" s="759">
        <v>5826.65</v>
      </c>
      <c r="V31" s="760"/>
      <c r="W31" s="761"/>
      <c r="X31" s="759">
        <v>7000</v>
      </c>
      <c r="Y31" s="759">
        <v>0</v>
      </c>
      <c r="Z31" s="760"/>
      <c r="AA31" s="761"/>
      <c r="AB31" s="759">
        <v>7000</v>
      </c>
      <c r="AC31" s="759">
        <v>3642.55</v>
      </c>
      <c r="AD31" s="760"/>
      <c r="AE31" s="761"/>
      <c r="AF31" s="759">
        <v>7000</v>
      </c>
      <c r="AG31" s="759">
        <v>7000</v>
      </c>
      <c r="AH31" s="759">
        <v>1657.08</v>
      </c>
      <c r="AI31" s="760">
        <v>0</v>
      </c>
      <c r="AJ31" s="760"/>
      <c r="AK31" s="759">
        <v>7000</v>
      </c>
      <c r="AL31" s="759">
        <v>443.86</v>
      </c>
      <c r="AM31" s="760"/>
      <c r="AN31" s="761"/>
      <c r="AO31" s="759">
        <v>7000</v>
      </c>
      <c r="AP31" s="762"/>
      <c r="AQ31" s="760"/>
      <c r="AR31" s="763" t="s">
        <v>1203</v>
      </c>
    </row>
    <row r="32" spans="1:44" s="211" customFormat="1" x14ac:dyDescent="0.25">
      <c r="A32" s="214" t="s">
        <v>464</v>
      </c>
      <c r="B32" s="764" t="str">
        <f>MID(A32,14,4)</f>
        <v>5210</v>
      </c>
      <c r="C32" s="765" t="s">
        <v>2141</v>
      </c>
      <c r="D32" s="766">
        <v>2500</v>
      </c>
      <c r="E32" s="766">
        <v>2174.84</v>
      </c>
      <c r="F32" s="133"/>
      <c r="G32" s="129"/>
      <c r="H32" s="766">
        <v>2500</v>
      </c>
      <c r="I32" s="766">
        <v>1881.85</v>
      </c>
      <c r="J32" s="133"/>
      <c r="K32" s="129"/>
      <c r="L32" s="766">
        <v>2500</v>
      </c>
      <c r="M32" s="766">
        <v>1549.41</v>
      </c>
      <c r="N32" s="133"/>
      <c r="O32" s="129"/>
      <c r="P32" s="766">
        <v>2500</v>
      </c>
      <c r="Q32" s="766">
        <v>1861.85</v>
      </c>
      <c r="R32" s="133"/>
      <c r="S32" s="129"/>
      <c r="T32" s="766">
        <v>2500</v>
      </c>
      <c r="U32" s="766">
        <v>1273.82</v>
      </c>
      <c r="V32" s="133"/>
      <c r="W32" s="129"/>
      <c r="X32" s="766">
        <v>2200</v>
      </c>
      <c r="Y32" s="766">
        <v>0</v>
      </c>
      <c r="Z32" s="133"/>
      <c r="AA32" s="129"/>
      <c r="AB32" s="766">
        <v>2200</v>
      </c>
      <c r="AC32" s="766">
        <v>0</v>
      </c>
      <c r="AD32" s="133"/>
      <c r="AE32" s="129"/>
      <c r="AF32" s="766">
        <v>2200</v>
      </c>
      <c r="AG32" s="766">
        <v>2200</v>
      </c>
      <c r="AH32" s="766"/>
      <c r="AI32" s="133">
        <v>0</v>
      </c>
      <c r="AJ32" s="133"/>
      <c r="AK32" s="766">
        <v>2200</v>
      </c>
      <c r="AL32" s="766">
        <v>0</v>
      </c>
      <c r="AM32" s="133"/>
      <c r="AN32" s="129"/>
      <c r="AO32" s="766">
        <v>2200</v>
      </c>
      <c r="AP32" s="767"/>
      <c r="AQ32" s="133"/>
      <c r="AR32" s="768" t="s">
        <v>1204</v>
      </c>
    </row>
    <row r="33" spans="1:44" s="211" customFormat="1" x14ac:dyDescent="0.25">
      <c r="A33" s="101" t="s">
        <v>477</v>
      </c>
      <c r="B33" s="764" t="str">
        <f>MID(A33,14,4)</f>
        <v>5210</v>
      </c>
      <c r="C33" s="765" t="s">
        <v>2142</v>
      </c>
      <c r="D33" s="766">
        <v>1200</v>
      </c>
      <c r="E33" s="766">
        <v>272.16000000000003</v>
      </c>
      <c r="F33" s="133"/>
      <c r="G33" s="129"/>
      <c r="H33" s="766">
        <v>2000</v>
      </c>
      <c r="I33" s="766">
        <v>93.15</v>
      </c>
      <c r="J33" s="133"/>
      <c r="K33" s="129"/>
      <c r="L33" s="766">
        <v>11000</v>
      </c>
      <c r="M33" s="766">
        <v>6644.98</v>
      </c>
      <c r="N33" s="133"/>
      <c r="O33" s="129"/>
      <c r="P33" s="766">
        <v>10000</v>
      </c>
      <c r="Q33" s="766">
        <v>8140.13</v>
      </c>
      <c r="R33" s="133"/>
      <c r="S33" s="129"/>
      <c r="T33" s="766">
        <v>11000</v>
      </c>
      <c r="U33" s="766">
        <v>12302.83</v>
      </c>
      <c r="V33" s="133"/>
      <c r="W33" s="129"/>
      <c r="X33" s="766">
        <v>10000</v>
      </c>
      <c r="Y33" s="766">
        <v>0</v>
      </c>
      <c r="Z33" s="133"/>
      <c r="AA33" s="129"/>
      <c r="AB33" s="766">
        <v>10000</v>
      </c>
      <c r="AC33" s="766">
        <v>5279.79</v>
      </c>
      <c r="AD33" s="133"/>
      <c r="AE33" s="129"/>
      <c r="AF33" s="766">
        <v>10000</v>
      </c>
      <c r="AG33" s="766">
        <v>10000</v>
      </c>
      <c r="AH33" s="766">
        <v>2435.89</v>
      </c>
      <c r="AI33" s="133">
        <v>0</v>
      </c>
      <c r="AJ33" s="133"/>
      <c r="AK33" s="766">
        <v>10000</v>
      </c>
      <c r="AL33" s="766">
        <v>665.24</v>
      </c>
      <c r="AM33" s="133"/>
      <c r="AN33" s="129"/>
      <c r="AO33" s="766">
        <v>10000</v>
      </c>
      <c r="AP33" s="767"/>
      <c r="AQ33" s="133"/>
      <c r="AR33" s="768" t="s">
        <v>986</v>
      </c>
    </row>
    <row r="34" spans="1:44" s="211" customFormat="1" x14ac:dyDescent="0.25">
      <c r="A34" s="214" t="s">
        <v>483</v>
      </c>
      <c r="B34" s="764" t="str">
        <f t="shared" ref="B34:B41" si="3">MID(A34,14,4)</f>
        <v>5210</v>
      </c>
      <c r="C34" s="765" t="s">
        <v>2143</v>
      </c>
      <c r="D34" s="766">
        <v>1200</v>
      </c>
      <c r="E34" s="766">
        <v>617.66</v>
      </c>
      <c r="F34" s="133"/>
      <c r="G34" s="129"/>
      <c r="H34" s="766">
        <v>1200</v>
      </c>
      <c r="I34" s="766">
        <v>629.12</v>
      </c>
      <c r="J34" s="133"/>
      <c r="K34" s="129"/>
      <c r="L34" s="766">
        <v>1000</v>
      </c>
      <c r="M34" s="766">
        <v>603.13</v>
      </c>
      <c r="N34" s="133"/>
      <c r="O34" s="129"/>
      <c r="P34" s="766">
        <v>800</v>
      </c>
      <c r="Q34" s="766">
        <v>765.17</v>
      </c>
      <c r="R34" s="133"/>
      <c r="S34" s="129"/>
      <c r="T34" s="766">
        <v>800</v>
      </c>
      <c r="U34" s="766">
        <v>538.72</v>
      </c>
      <c r="V34" s="133"/>
      <c r="W34" s="129"/>
      <c r="X34" s="766">
        <v>800</v>
      </c>
      <c r="Y34" s="766">
        <v>541.98</v>
      </c>
      <c r="Z34" s="133"/>
      <c r="AA34" s="129"/>
      <c r="AB34" s="766">
        <v>800</v>
      </c>
      <c r="AC34" s="766">
        <v>733.55</v>
      </c>
      <c r="AD34" s="133"/>
      <c r="AE34" s="129"/>
      <c r="AF34" s="766">
        <v>800</v>
      </c>
      <c r="AG34" s="766">
        <v>800</v>
      </c>
      <c r="AH34" s="766">
        <v>281.70999999999998</v>
      </c>
      <c r="AI34" s="133">
        <v>0</v>
      </c>
      <c r="AJ34" s="133"/>
      <c r="AK34" s="766">
        <v>800</v>
      </c>
      <c r="AL34" s="766">
        <v>244.39</v>
      </c>
      <c r="AM34" s="133"/>
      <c r="AN34" s="129"/>
      <c r="AO34" s="766">
        <v>800</v>
      </c>
      <c r="AP34" s="767"/>
      <c r="AQ34" s="133"/>
      <c r="AR34" s="768" t="s">
        <v>1209</v>
      </c>
    </row>
    <row r="35" spans="1:44" s="211" customFormat="1" x14ac:dyDescent="0.25">
      <c r="A35" s="214" t="s">
        <v>503</v>
      </c>
      <c r="B35" s="764" t="str">
        <f t="shared" si="3"/>
        <v>5210</v>
      </c>
      <c r="C35" s="765" t="s">
        <v>2144</v>
      </c>
      <c r="D35" s="766">
        <v>4400</v>
      </c>
      <c r="E35" s="766">
        <v>2761.74</v>
      </c>
      <c r="F35" s="133"/>
      <c r="G35" s="129"/>
      <c r="H35" s="766">
        <v>4400</v>
      </c>
      <c r="I35" s="766">
        <v>2270.62</v>
      </c>
      <c r="J35" s="133"/>
      <c r="K35" s="129"/>
      <c r="L35" s="766">
        <v>3200</v>
      </c>
      <c r="M35" s="766">
        <v>2563.12</v>
      </c>
      <c r="N35" s="133"/>
      <c r="O35" s="129"/>
      <c r="P35" s="766">
        <v>3200</v>
      </c>
      <c r="Q35" s="766">
        <v>2658.61</v>
      </c>
      <c r="R35" s="133"/>
      <c r="S35" s="129"/>
      <c r="T35" s="766">
        <v>3200</v>
      </c>
      <c r="U35" s="766">
        <v>2034.71</v>
      </c>
      <c r="V35" s="133"/>
      <c r="W35" s="129"/>
      <c r="X35" s="766">
        <v>3200</v>
      </c>
      <c r="Y35" s="766">
        <v>0</v>
      </c>
      <c r="Z35" s="133"/>
      <c r="AA35" s="129"/>
      <c r="AB35" s="766">
        <v>3200</v>
      </c>
      <c r="AC35" s="766">
        <v>1123.55</v>
      </c>
      <c r="AD35" s="133"/>
      <c r="AE35" s="129"/>
      <c r="AF35" s="766">
        <v>3200</v>
      </c>
      <c r="AG35" s="766">
        <v>3200</v>
      </c>
      <c r="AH35" s="766">
        <v>1166.75</v>
      </c>
      <c r="AI35" s="133">
        <v>0</v>
      </c>
      <c r="AJ35" s="133"/>
      <c r="AK35" s="766">
        <v>3200</v>
      </c>
      <c r="AL35" s="766">
        <v>623.58000000000004</v>
      </c>
      <c r="AM35" s="133"/>
      <c r="AN35" s="129"/>
      <c r="AO35" s="766">
        <v>3200</v>
      </c>
      <c r="AP35" s="767"/>
      <c r="AQ35" s="133"/>
      <c r="AR35" s="768" t="s">
        <v>1205</v>
      </c>
    </row>
    <row r="36" spans="1:44" s="211" customFormat="1" x14ac:dyDescent="0.25">
      <c r="A36" s="214" t="s">
        <v>534</v>
      </c>
      <c r="B36" s="764" t="str">
        <f t="shared" si="3"/>
        <v>5210</v>
      </c>
      <c r="C36" s="765" t="s">
        <v>2145</v>
      </c>
      <c r="D36" s="766">
        <v>2400</v>
      </c>
      <c r="E36" s="766">
        <v>2316.4899999999998</v>
      </c>
      <c r="F36" s="133"/>
      <c r="G36" s="129"/>
      <c r="H36" s="766">
        <v>2400</v>
      </c>
      <c r="I36" s="766">
        <v>2208.38</v>
      </c>
      <c r="J36" s="133"/>
      <c r="K36" s="129"/>
      <c r="L36" s="766">
        <v>2400</v>
      </c>
      <c r="M36" s="766">
        <v>2072.3200000000002</v>
      </c>
      <c r="N36" s="133"/>
      <c r="O36" s="129"/>
      <c r="P36" s="766">
        <v>2400</v>
      </c>
      <c r="Q36" s="766">
        <v>2701.53</v>
      </c>
      <c r="R36" s="133"/>
      <c r="S36" s="129"/>
      <c r="T36" s="766">
        <v>2300</v>
      </c>
      <c r="U36" s="766">
        <v>2157.4699999999998</v>
      </c>
      <c r="V36" s="133"/>
      <c r="W36" s="129"/>
      <c r="X36" s="766">
        <v>2800</v>
      </c>
      <c r="Y36" s="766">
        <v>816.9</v>
      </c>
      <c r="Z36" s="133"/>
      <c r="AA36" s="129"/>
      <c r="AB36" s="766">
        <v>2200</v>
      </c>
      <c r="AC36" s="766">
        <v>859.23</v>
      </c>
      <c r="AD36" s="133"/>
      <c r="AE36" s="129"/>
      <c r="AF36" s="766">
        <v>1600</v>
      </c>
      <c r="AG36" s="766">
        <v>1600</v>
      </c>
      <c r="AH36" s="766">
        <v>225.48</v>
      </c>
      <c r="AI36" s="133">
        <v>-0.27272727272727271</v>
      </c>
      <c r="AJ36" s="133"/>
      <c r="AK36" s="766">
        <v>2200</v>
      </c>
      <c r="AL36" s="766">
        <v>2.75</v>
      </c>
      <c r="AM36" s="133"/>
      <c r="AN36" s="129"/>
      <c r="AO36" s="766">
        <v>2200</v>
      </c>
      <c r="AP36" s="767"/>
      <c r="AQ36" s="133"/>
      <c r="AR36" s="768" t="s">
        <v>1206</v>
      </c>
    </row>
    <row r="37" spans="1:44" s="211" customFormat="1" x14ac:dyDescent="0.25">
      <c r="A37" s="214" t="s">
        <v>642</v>
      </c>
      <c r="B37" s="764" t="str">
        <f t="shared" si="3"/>
        <v>5210</v>
      </c>
      <c r="C37" s="765" t="s">
        <v>2146</v>
      </c>
      <c r="D37" s="766">
        <v>10000</v>
      </c>
      <c r="E37" s="766">
        <v>8011.17</v>
      </c>
      <c r="F37" s="133"/>
      <c r="G37" s="129"/>
      <c r="H37" s="766">
        <v>10000</v>
      </c>
      <c r="I37" s="766">
        <v>11378.49</v>
      </c>
      <c r="J37" s="133"/>
      <c r="K37" s="129"/>
      <c r="L37" s="766">
        <v>9000</v>
      </c>
      <c r="M37" s="766">
        <v>10519.61</v>
      </c>
      <c r="N37" s="133"/>
      <c r="O37" s="129"/>
      <c r="P37" s="766">
        <v>11000</v>
      </c>
      <c r="Q37" s="766">
        <v>10814.39</v>
      </c>
      <c r="R37" s="133"/>
      <c r="S37" s="129"/>
      <c r="T37" s="766">
        <v>11000</v>
      </c>
      <c r="U37" s="766">
        <v>8401.56</v>
      </c>
      <c r="V37" s="133"/>
      <c r="W37" s="129"/>
      <c r="X37" s="766">
        <v>11000</v>
      </c>
      <c r="Y37" s="766">
        <v>7466.27</v>
      </c>
      <c r="Z37" s="133"/>
      <c r="AA37" s="129"/>
      <c r="AB37" s="766">
        <v>11000</v>
      </c>
      <c r="AC37" s="766">
        <v>438.32</v>
      </c>
      <c r="AD37" s="133"/>
      <c r="AE37" s="129"/>
      <c r="AF37" s="766">
        <v>11000</v>
      </c>
      <c r="AG37" s="766">
        <v>11000</v>
      </c>
      <c r="AH37" s="766">
        <v>6350.39</v>
      </c>
      <c r="AI37" s="133">
        <v>0</v>
      </c>
      <c r="AJ37" s="133"/>
      <c r="AK37" s="766">
        <v>11000</v>
      </c>
      <c r="AL37" s="766">
        <v>7194.82</v>
      </c>
      <c r="AM37" s="133"/>
      <c r="AN37" s="129"/>
      <c r="AO37" s="766">
        <v>11000</v>
      </c>
      <c r="AP37" s="767"/>
      <c r="AQ37" s="133"/>
      <c r="AR37" s="768" t="s">
        <v>1208</v>
      </c>
    </row>
    <row r="38" spans="1:44" s="211" customFormat="1" x14ac:dyDescent="0.25">
      <c r="A38" s="214" t="s">
        <v>897</v>
      </c>
      <c r="B38" s="764" t="str">
        <f t="shared" si="3"/>
        <v>5210</v>
      </c>
      <c r="C38" s="765" t="s">
        <v>2147</v>
      </c>
      <c r="D38" s="766">
        <v>0</v>
      </c>
      <c r="E38" s="766">
        <v>0</v>
      </c>
      <c r="F38" s="133"/>
      <c r="G38" s="129"/>
      <c r="H38" s="766">
        <v>0</v>
      </c>
      <c r="I38" s="766">
        <v>85.19</v>
      </c>
      <c r="J38" s="133"/>
      <c r="K38" s="129"/>
      <c r="L38" s="766">
        <v>0</v>
      </c>
      <c r="M38" s="766">
        <v>0</v>
      </c>
      <c r="N38" s="133"/>
      <c r="O38" s="129"/>
      <c r="P38" s="766">
        <v>200</v>
      </c>
      <c r="Q38" s="766">
        <v>135.91</v>
      </c>
      <c r="R38" s="133"/>
      <c r="S38" s="129"/>
      <c r="T38" s="766">
        <v>0</v>
      </c>
      <c r="U38" s="766">
        <v>179.5</v>
      </c>
      <c r="V38" s="133"/>
      <c r="W38" s="129"/>
      <c r="X38" s="766">
        <v>200</v>
      </c>
      <c r="Y38" s="766">
        <v>91.96</v>
      </c>
      <c r="Z38" s="133"/>
      <c r="AA38" s="129"/>
      <c r="AB38" s="766">
        <v>200</v>
      </c>
      <c r="AC38" s="766">
        <v>177.08</v>
      </c>
      <c r="AD38" s="133"/>
      <c r="AE38" s="129"/>
      <c r="AF38" s="766">
        <v>200</v>
      </c>
      <c r="AG38" s="766">
        <v>200</v>
      </c>
      <c r="AH38" s="766">
        <v>41.95</v>
      </c>
      <c r="AI38" s="133">
        <v>0</v>
      </c>
      <c r="AJ38" s="133"/>
      <c r="AK38" s="766">
        <v>200</v>
      </c>
      <c r="AL38" s="766">
        <v>0</v>
      </c>
      <c r="AM38" s="133"/>
      <c r="AN38" s="129"/>
      <c r="AO38" s="766">
        <v>200</v>
      </c>
      <c r="AP38" s="767"/>
      <c r="AQ38" s="133"/>
      <c r="AR38" s="768" t="s">
        <v>112</v>
      </c>
    </row>
    <row r="39" spans="1:44" s="211" customFormat="1" x14ac:dyDescent="0.25">
      <c r="A39" s="214" t="s">
        <v>686</v>
      </c>
      <c r="B39" s="764" t="str">
        <f t="shared" si="3"/>
        <v>5210</v>
      </c>
      <c r="C39" s="765" t="s">
        <v>2148</v>
      </c>
      <c r="D39" s="766">
        <v>300</v>
      </c>
      <c r="E39" s="766">
        <v>242.49</v>
      </c>
      <c r="F39" s="133"/>
      <c r="G39" s="129"/>
      <c r="H39" s="766">
        <v>300</v>
      </c>
      <c r="I39" s="766">
        <v>85.2</v>
      </c>
      <c r="J39" s="133"/>
      <c r="K39" s="129"/>
      <c r="L39" s="766">
        <v>300</v>
      </c>
      <c r="M39" s="766">
        <v>291.75</v>
      </c>
      <c r="N39" s="133"/>
      <c r="O39" s="129"/>
      <c r="P39" s="766">
        <v>300</v>
      </c>
      <c r="Q39" s="766">
        <v>135.91</v>
      </c>
      <c r="R39" s="133"/>
      <c r="S39" s="129"/>
      <c r="T39" s="766">
        <v>300</v>
      </c>
      <c r="U39" s="766">
        <v>232.37</v>
      </c>
      <c r="V39" s="133"/>
      <c r="W39" s="129"/>
      <c r="X39" s="766">
        <v>300</v>
      </c>
      <c r="Y39" s="766">
        <v>479.42</v>
      </c>
      <c r="Z39" s="133"/>
      <c r="AA39" s="129"/>
      <c r="AB39" s="766">
        <v>300</v>
      </c>
      <c r="AC39" s="766">
        <v>345.27</v>
      </c>
      <c r="AD39" s="133"/>
      <c r="AE39" s="129"/>
      <c r="AF39" s="766">
        <v>300</v>
      </c>
      <c r="AG39" s="766">
        <v>300</v>
      </c>
      <c r="AH39" s="766">
        <v>381.51</v>
      </c>
      <c r="AI39" s="133">
        <v>0</v>
      </c>
      <c r="AJ39" s="133"/>
      <c r="AK39" s="766">
        <v>300</v>
      </c>
      <c r="AL39" s="766">
        <v>158.24</v>
      </c>
      <c r="AM39" s="133"/>
      <c r="AN39" s="129"/>
      <c r="AO39" s="766">
        <v>300</v>
      </c>
      <c r="AP39" s="767"/>
      <c r="AQ39" s="133"/>
      <c r="AR39" s="768" t="s">
        <v>1211</v>
      </c>
    </row>
    <row r="40" spans="1:44" s="211" customFormat="1" x14ac:dyDescent="0.25">
      <c r="A40" s="214" t="s">
        <v>713</v>
      </c>
      <c r="B40" s="764" t="str">
        <f t="shared" si="3"/>
        <v>5210</v>
      </c>
      <c r="C40" s="765" t="s">
        <v>2149</v>
      </c>
      <c r="D40" s="766">
        <v>1000</v>
      </c>
      <c r="E40" s="766">
        <v>541.16999999999996</v>
      </c>
      <c r="F40" s="133"/>
      <c r="G40" s="129"/>
      <c r="H40" s="766">
        <v>1000</v>
      </c>
      <c r="I40" s="766">
        <v>584.57000000000005</v>
      </c>
      <c r="J40" s="133"/>
      <c r="K40" s="129"/>
      <c r="L40" s="766">
        <v>500</v>
      </c>
      <c r="M40" s="766">
        <v>953.55</v>
      </c>
      <c r="N40" s="133"/>
      <c r="O40" s="129"/>
      <c r="P40" s="766">
        <v>500</v>
      </c>
      <c r="Q40" s="766">
        <v>799.56</v>
      </c>
      <c r="R40" s="133"/>
      <c r="S40" s="129"/>
      <c r="T40" s="766">
        <v>500</v>
      </c>
      <c r="U40" s="766">
        <v>938.39</v>
      </c>
      <c r="V40" s="133"/>
      <c r="W40" s="129"/>
      <c r="X40" s="766">
        <v>500</v>
      </c>
      <c r="Y40" s="766">
        <v>863.46</v>
      </c>
      <c r="Z40" s="133"/>
      <c r="AA40" s="129"/>
      <c r="AB40" s="766">
        <v>500</v>
      </c>
      <c r="AC40" s="766">
        <v>478.21</v>
      </c>
      <c r="AD40" s="133"/>
      <c r="AE40" s="129"/>
      <c r="AF40" s="766">
        <v>500</v>
      </c>
      <c r="AG40" s="766">
        <v>500</v>
      </c>
      <c r="AH40" s="766">
        <v>0</v>
      </c>
      <c r="AI40" s="133">
        <v>0</v>
      </c>
      <c r="AJ40" s="133"/>
      <c r="AK40" s="766">
        <v>500</v>
      </c>
      <c r="AL40" s="766">
        <v>0</v>
      </c>
      <c r="AM40" s="133"/>
      <c r="AN40" s="129"/>
      <c r="AO40" s="766">
        <v>500</v>
      </c>
      <c r="AP40" s="767"/>
      <c r="AQ40" s="133"/>
      <c r="AR40" s="768" t="s">
        <v>1210</v>
      </c>
    </row>
    <row r="41" spans="1:44" s="211" customFormat="1" ht="15.75" x14ac:dyDescent="0.4">
      <c r="A41" s="214" t="s">
        <v>791</v>
      </c>
      <c r="B41" s="764" t="str">
        <f t="shared" si="3"/>
        <v>5210</v>
      </c>
      <c r="C41" s="765" t="s">
        <v>2150</v>
      </c>
      <c r="D41" s="766">
        <v>200</v>
      </c>
      <c r="E41" s="766">
        <v>318.18</v>
      </c>
      <c r="F41" s="133"/>
      <c r="G41" s="129"/>
      <c r="H41" s="766">
        <v>250</v>
      </c>
      <c r="I41" s="766">
        <v>278.26</v>
      </c>
      <c r="J41" s="133"/>
      <c r="K41" s="129"/>
      <c r="L41" s="766">
        <v>275</v>
      </c>
      <c r="M41" s="766">
        <v>290.27</v>
      </c>
      <c r="N41" s="133"/>
      <c r="O41" s="129"/>
      <c r="P41" s="766">
        <v>300</v>
      </c>
      <c r="Q41" s="766">
        <v>404.85</v>
      </c>
      <c r="R41" s="133"/>
      <c r="S41" s="129"/>
      <c r="T41" s="766">
        <v>350</v>
      </c>
      <c r="U41" s="766">
        <v>252.79</v>
      </c>
      <c r="V41" s="133"/>
      <c r="W41" s="129"/>
      <c r="X41" s="766">
        <v>450</v>
      </c>
      <c r="Y41" s="766">
        <v>278.43</v>
      </c>
      <c r="Z41" s="133"/>
      <c r="AA41" s="129"/>
      <c r="AB41" s="769">
        <v>400</v>
      </c>
      <c r="AC41" s="769">
        <v>297.97000000000003</v>
      </c>
      <c r="AD41" s="133"/>
      <c r="AE41" s="129"/>
      <c r="AF41" s="766">
        <v>400</v>
      </c>
      <c r="AG41" s="769">
        <v>400</v>
      </c>
      <c r="AH41" s="769">
        <v>295.23</v>
      </c>
      <c r="AI41" s="133">
        <v>0</v>
      </c>
      <c r="AJ41" s="133"/>
      <c r="AK41" s="769">
        <v>400</v>
      </c>
      <c r="AL41" s="769">
        <v>209.16</v>
      </c>
      <c r="AM41" s="133"/>
      <c r="AN41" s="129"/>
      <c r="AO41" s="769">
        <v>400</v>
      </c>
      <c r="AP41" s="770"/>
      <c r="AQ41" s="133"/>
      <c r="AR41" s="768" t="s">
        <v>1207</v>
      </c>
    </row>
    <row r="42" spans="1:44" x14ac:dyDescent="0.25">
      <c r="B42" s="243"/>
      <c r="C42" s="136" t="s">
        <v>1197</v>
      </c>
      <c r="D42" s="132">
        <f>SUM(D31:D41)</f>
        <v>30700</v>
      </c>
      <c r="E42" s="132">
        <f>SUM(E31:E41)</f>
        <v>24739.329999999998</v>
      </c>
      <c r="F42" s="5"/>
      <c r="G42" s="129"/>
      <c r="H42" s="132">
        <f>SUM(H31:H41)</f>
        <v>32550</v>
      </c>
      <c r="I42" s="132">
        <f>SUM(I31:I41)</f>
        <v>26216.609999999997</v>
      </c>
      <c r="J42" s="5"/>
      <c r="K42" s="129"/>
      <c r="L42" s="132">
        <f>SUM(L31:L41)</f>
        <v>38975</v>
      </c>
      <c r="M42" s="132">
        <f>SUM(M31:M41)</f>
        <v>31849.95</v>
      </c>
      <c r="N42" s="5"/>
      <c r="O42" s="129"/>
      <c r="P42" s="132">
        <f>SUM(P31:P41)</f>
        <v>38100</v>
      </c>
      <c r="Q42" s="132">
        <f>SUM(Q31:Q41)</f>
        <v>35460.639999999999</v>
      </c>
      <c r="R42" s="5"/>
      <c r="S42" s="129"/>
      <c r="T42" s="132">
        <f>SUM(T31:T41)</f>
        <v>38950</v>
      </c>
      <c r="U42" s="132">
        <f>SUM(U31:U41)</f>
        <v>34138.810000000005</v>
      </c>
      <c r="V42" s="5"/>
      <c r="W42" s="129"/>
      <c r="X42" s="771">
        <f>SUM(X31:X41)</f>
        <v>38450</v>
      </c>
      <c r="Y42" s="771">
        <f>SUM(Y31:Y41)</f>
        <v>10538.420000000002</v>
      </c>
      <c r="Z42" s="5"/>
      <c r="AA42" s="129"/>
      <c r="AB42" s="771">
        <f>SUM(AB31:AB41)</f>
        <v>37800</v>
      </c>
      <c r="AC42" s="771">
        <f>SUM(AC31:AC41)</f>
        <v>13375.519999999997</v>
      </c>
      <c r="AD42" s="5"/>
      <c r="AE42" s="129"/>
      <c r="AF42" s="771">
        <f>SUM(AF31:AF41)</f>
        <v>37200</v>
      </c>
      <c r="AG42" s="771">
        <f>SUM(AG31:AG41)</f>
        <v>37200</v>
      </c>
      <c r="AH42" s="771">
        <f>SUM(AH31:AH41)</f>
        <v>12835.99</v>
      </c>
      <c r="AI42" s="5"/>
      <c r="AJ42" s="5"/>
      <c r="AK42" s="771">
        <f>SUM(AK31:AK41)</f>
        <v>37800</v>
      </c>
      <c r="AL42" s="771">
        <f>SUM(AL31:AL41)</f>
        <v>9542.0399999999991</v>
      </c>
      <c r="AM42" s="5"/>
      <c r="AN42" s="129"/>
      <c r="AO42" s="771">
        <f>SUM(AO31:AO41)</f>
        <v>37800</v>
      </c>
      <c r="AP42" s="132">
        <f>SUM(AP31:AP41)</f>
        <v>0</v>
      </c>
      <c r="AQ42" s="5"/>
      <c r="AR42" s="772"/>
    </row>
    <row r="43" spans="1:44" x14ac:dyDescent="0.25">
      <c r="B43" s="243"/>
      <c r="C43" s="5"/>
      <c r="D43" s="132"/>
      <c r="E43" s="5"/>
      <c r="F43" s="5"/>
      <c r="G43" s="129"/>
      <c r="H43" s="132"/>
      <c r="I43" s="5"/>
      <c r="J43" s="5"/>
      <c r="K43" s="129"/>
      <c r="L43" s="132"/>
      <c r="M43" s="5"/>
      <c r="N43" s="5"/>
      <c r="O43" s="129"/>
      <c r="P43" s="132"/>
      <c r="Q43" s="5"/>
      <c r="R43" s="5"/>
      <c r="S43" s="129"/>
      <c r="T43" s="132"/>
      <c r="U43" s="5"/>
      <c r="V43" s="5"/>
      <c r="W43" s="129"/>
      <c r="X43" s="132"/>
      <c r="Y43" s="5"/>
      <c r="Z43" s="5"/>
      <c r="AA43" s="129"/>
      <c r="AB43" s="132"/>
      <c r="AC43" s="5"/>
      <c r="AD43" s="5"/>
      <c r="AE43" s="129"/>
      <c r="AF43" s="132"/>
      <c r="AG43" s="132"/>
      <c r="AH43" s="5"/>
      <c r="AI43" s="5"/>
      <c r="AJ43" s="5"/>
      <c r="AK43" s="132"/>
      <c r="AL43" s="5"/>
      <c r="AM43" s="5"/>
      <c r="AN43" s="129"/>
      <c r="AO43" s="131"/>
      <c r="AP43" s="131"/>
      <c r="AQ43" s="5"/>
      <c r="AR43" s="772"/>
    </row>
    <row r="44" spans="1:44" x14ac:dyDescent="0.25">
      <c r="B44" s="773"/>
      <c r="C44" s="774" t="s">
        <v>1198</v>
      </c>
      <c r="D44" s="775"/>
      <c r="E44" s="776" t="e">
        <f>E42+#REF!+E16+E15</f>
        <v>#REF!</v>
      </c>
      <c r="F44" s="777"/>
      <c r="G44" s="778"/>
      <c r="H44" s="775"/>
      <c r="I44" s="776" t="e">
        <f>I42+#REF!+I16+I15</f>
        <v>#REF!</v>
      </c>
      <c r="J44" s="777"/>
      <c r="K44" s="778"/>
      <c r="L44" s="775"/>
      <c r="M44" s="776" t="e">
        <f>M42+#REF!+M16+M15</f>
        <v>#REF!</v>
      </c>
      <c r="N44" s="777"/>
      <c r="O44" s="778"/>
      <c r="P44" s="775"/>
      <c r="Q44" s="776" t="e">
        <f>Q42+#REF!+Q16+Q15</f>
        <v>#REF!</v>
      </c>
      <c r="R44" s="777"/>
      <c r="S44" s="778"/>
      <c r="T44" s="776" t="e">
        <f>T42+#REF!+T16+T15</f>
        <v>#REF!</v>
      </c>
      <c r="U44" s="776" t="e">
        <f>U42+#REF!+U16+U15</f>
        <v>#REF!</v>
      </c>
      <c r="V44" s="777"/>
      <c r="W44" s="778"/>
      <c r="X44" s="776" t="e">
        <f>X42+#REF!+X16+X15</f>
        <v>#REF!</v>
      </c>
      <c r="Y44" s="776" t="e">
        <f>Y42+#REF!+Y16+Y15</f>
        <v>#REF!</v>
      </c>
      <c r="Z44" s="777"/>
      <c r="AA44" s="778"/>
      <c r="AB44" s="776">
        <f>AB42+AB16+AB15</f>
        <v>37800</v>
      </c>
      <c r="AC44" s="776">
        <f>AC42+AC16+AC15</f>
        <v>25790.55</v>
      </c>
      <c r="AD44" s="777"/>
      <c r="AE44" s="778"/>
      <c r="AF44" s="776" t="e">
        <f>AF42+#REF!+AF16+AF15</f>
        <v>#REF!</v>
      </c>
      <c r="AG44" s="776">
        <f>AG42+AG16+AG15</f>
        <v>37200</v>
      </c>
      <c r="AH44" s="776">
        <f>AH42+AH16+AH15</f>
        <v>27064.620000000003</v>
      </c>
      <c r="AI44" s="777"/>
      <c r="AJ44" s="777"/>
      <c r="AK44" s="776">
        <f>AK42+AK16+AK15</f>
        <v>37800</v>
      </c>
      <c r="AL44" s="776">
        <f>AL42+AL16+AL15</f>
        <v>17509.589999999997</v>
      </c>
      <c r="AM44" s="777"/>
      <c r="AN44" s="778"/>
      <c r="AO44" s="776">
        <f>AO42+AO16+AO15</f>
        <v>37800</v>
      </c>
      <c r="AP44" s="776">
        <f>AP42+AP16+AP15</f>
        <v>0</v>
      </c>
      <c r="AQ44" s="779"/>
      <c r="AR44" s="780"/>
    </row>
    <row r="45" spans="1:44" s="211" customFormat="1" x14ac:dyDescent="0.25">
      <c r="C45" s="271"/>
      <c r="D45" s="120"/>
      <c r="E45" s="139"/>
      <c r="G45" s="213"/>
      <c r="H45" s="120"/>
      <c r="I45" s="139"/>
      <c r="K45" s="213"/>
      <c r="L45" s="120"/>
      <c r="M45" s="139"/>
      <c r="O45" s="213"/>
      <c r="P45" s="120"/>
      <c r="Q45" s="139"/>
      <c r="S45" s="213"/>
      <c r="T45" s="120"/>
      <c r="U45" s="139"/>
      <c r="W45" s="213"/>
      <c r="X45" s="120"/>
      <c r="Y45" s="139"/>
      <c r="AA45" s="213"/>
      <c r="AB45" s="120"/>
      <c r="AC45" s="139"/>
      <c r="AE45" s="213"/>
      <c r="AF45" s="120"/>
      <c r="AG45" s="120"/>
      <c r="AH45" s="139"/>
      <c r="AK45" s="403"/>
      <c r="AL45" s="139"/>
      <c r="AM45" s="394"/>
      <c r="AN45" s="397"/>
      <c r="AO45" s="212"/>
      <c r="AP45" s="212"/>
    </row>
    <row r="46" spans="1:44" x14ac:dyDescent="0.25">
      <c r="D46" s="120"/>
      <c r="H46" s="120"/>
      <c r="L46" s="120"/>
      <c r="P46" s="120"/>
      <c r="T46" s="120"/>
      <c r="X46" s="120"/>
      <c r="AB46" s="120"/>
      <c r="AF46" s="120"/>
      <c r="AG46" s="120"/>
      <c r="AK46" s="403"/>
    </row>
    <row r="47" spans="1:44" x14ac:dyDescent="0.25">
      <c r="D47" s="120"/>
      <c r="H47" s="120"/>
      <c r="L47" s="120"/>
      <c r="P47" s="120"/>
      <c r="T47" s="120"/>
      <c r="X47" s="120"/>
      <c r="AB47" s="120"/>
      <c r="AF47" s="120"/>
      <c r="AG47" s="120"/>
      <c r="AK47" s="403"/>
    </row>
    <row r="48" spans="1:44"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403" t="s">
        <v>1511</v>
      </c>
      <c r="E124" s="211">
        <v>30.35</v>
      </c>
      <c r="F124" s="211">
        <v>25</v>
      </c>
      <c r="G124" s="397"/>
      <c r="H124" s="403"/>
      <c r="I124" s="394"/>
      <c r="J124" s="394"/>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5" orientation="landscape" r:id="rId1"/>
  <headerFooter alignWithMargins="0">
    <oddHeader>&amp;C&amp;"-,Bold"Proposed Budget &amp; Analysis Report for FY20</oddHeader>
    <oddFooter>&amp;C&amp;D&amp;T&amp;R&amp;A</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AR382"/>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2.85546875" style="161" customWidth="1"/>
    <col min="4" max="4" width="11.140625" style="211" hidden="1" customWidth="1"/>
    <col min="5" max="5" width="11.42578125" style="211" hidden="1" customWidth="1"/>
    <col min="6" max="6" width="9.28515625" style="211" hidden="1" customWidth="1"/>
    <col min="7" max="7" width="1.85546875" style="213" hidden="1" customWidth="1"/>
    <col min="8" max="8" width="11.140625" style="211" hidden="1" customWidth="1"/>
    <col min="9" max="9" width="11.42578125" style="211" hidden="1" customWidth="1"/>
    <col min="10" max="10" width="9.28515625" style="211" hidden="1" customWidth="1"/>
    <col min="11" max="11" width="1.85546875" style="213" hidden="1" customWidth="1"/>
    <col min="12" max="12" width="11.140625" style="211" hidden="1" customWidth="1"/>
    <col min="13" max="13" width="11.42578125" style="211" hidden="1" customWidth="1"/>
    <col min="14" max="14" width="9.28515625" style="211" hidden="1" customWidth="1"/>
    <col min="15" max="15" width="1.85546875" style="213" hidden="1" customWidth="1"/>
    <col min="16" max="16" width="11.140625" style="211" hidden="1" customWidth="1"/>
    <col min="17" max="17" width="11.42578125" style="211" hidden="1" customWidth="1"/>
    <col min="18" max="18" width="9.28515625" style="211" hidden="1" customWidth="1"/>
    <col min="19" max="19" width="1.85546875" style="213" hidden="1" customWidth="1"/>
    <col min="20" max="20" width="11.140625" style="161" hidden="1" customWidth="1"/>
    <col min="21" max="21" width="11.42578125" style="161" hidden="1" customWidth="1"/>
    <col min="22" max="22" width="9.28515625" style="161" hidden="1" customWidth="1"/>
    <col min="23" max="23" width="1.85546875" style="103" hidden="1" customWidth="1"/>
    <col min="24" max="25" width="11.5703125" style="161" hidden="1" customWidth="1"/>
    <col min="26" max="26" width="8.7109375" style="161" hidden="1" customWidth="1"/>
    <col min="27" max="27" width="1.85546875" style="103" hidden="1" customWidth="1"/>
    <col min="28" max="29" width="11.5703125" style="161" customWidth="1"/>
    <col min="30" max="30" width="6.140625" style="161" bestFit="1" customWidth="1"/>
    <col min="31" max="31" width="1.85546875" style="213"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7.7109375" style="394" bestFit="1" customWidth="1"/>
    <col min="40" max="40" width="1.85546875" style="397" customWidth="1"/>
    <col min="41" max="41" width="12.28515625" style="104" customWidth="1"/>
    <col min="42" max="42" width="11.28515625" style="104" bestFit="1" customWidth="1"/>
    <col min="43" max="43" width="9.5703125" style="161" bestFit="1" customWidth="1"/>
    <col min="44" max="44" width="21.5703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1788</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R5" s="111"/>
    </row>
    <row r="6" spans="1:44" x14ac:dyDescent="0.25">
      <c r="A6" s="111" t="s">
        <v>272</v>
      </c>
      <c r="D6" s="112"/>
      <c r="E6" s="112"/>
      <c r="F6" s="216"/>
      <c r="H6" s="112"/>
      <c r="I6" s="112"/>
      <c r="J6" s="216"/>
      <c r="L6" s="112"/>
      <c r="M6" s="112"/>
      <c r="N6" s="216"/>
      <c r="P6" s="112"/>
      <c r="Q6" s="112"/>
      <c r="R6" s="216"/>
      <c r="T6" s="112"/>
      <c r="U6" s="112"/>
      <c r="V6" s="80"/>
      <c r="X6" s="112"/>
      <c r="Y6" s="112"/>
      <c r="Z6" s="80"/>
      <c r="AB6" s="112"/>
      <c r="AC6" s="112"/>
      <c r="AD6" s="80"/>
      <c r="AF6" s="218"/>
      <c r="AG6" s="218"/>
      <c r="AH6" s="112"/>
      <c r="AI6" s="216"/>
      <c r="AJ6" s="80"/>
      <c r="AK6" s="112"/>
      <c r="AL6" s="112"/>
      <c r="AM6" s="396"/>
      <c r="AO6" s="138"/>
      <c r="AP6" s="138"/>
      <c r="AQ6" s="80"/>
      <c r="AR6" s="2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f>SUM(AF6)</f>
        <v>0</v>
      </c>
      <c r="AG7" s="227">
        <f>SUM(AG6)</f>
        <v>0</v>
      </c>
      <c r="AH7" s="225">
        <f>SUM(AH6:AH6)</f>
        <v>0</v>
      </c>
      <c r="AI7" s="226"/>
      <c r="AJ7" s="226"/>
      <c r="AK7" s="225">
        <f>SUM(AK6:AK6)</f>
        <v>0</v>
      </c>
      <c r="AL7" s="225">
        <f>SUM(AL6:AL6)</f>
        <v>0</v>
      </c>
      <c r="AM7" s="226"/>
      <c r="AN7" s="224"/>
      <c r="AO7" s="227">
        <f>SUM(AO6)</f>
        <v>0</v>
      </c>
      <c r="AP7" s="227">
        <f>SUM(AP6)</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8"/>
      <c r="AG8" s="218"/>
      <c r="AH8" s="112"/>
      <c r="AI8" s="216"/>
      <c r="AJ8" s="80"/>
      <c r="AK8" s="112"/>
      <c r="AL8" s="112"/>
      <c r="AM8" s="396"/>
      <c r="AO8" s="138"/>
      <c r="AP8" s="138"/>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8"/>
      <c r="AG9" s="218"/>
      <c r="AH9" s="112"/>
      <c r="AI9" s="216"/>
      <c r="AJ9" s="80"/>
      <c r="AK9" s="112"/>
      <c r="AL9" s="112"/>
      <c r="AM9" s="396"/>
      <c r="AO9" s="138"/>
      <c r="AP9" s="138"/>
      <c r="AQ9" s="80"/>
      <c r="AR9" s="111"/>
    </row>
    <row r="10" spans="1:44" x14ac:dyDescent="0.25">
      <c r="A10" s="161" t="s">
        <v>483</v>
      </c>
      <c r="B10" s="119" t="str">
        <f t="shared" ref="B10:B22" si="0">MID(A10,14,4)</f>
        <v>5210</v>
      </c>
      <c r="C10" s="161" t="s">
        <v>1626</v>
      </c>
      <c r="D10" s="112">
        <v>1200</v>
      </c>
      <c r="E10" s="112">
        <v>617.66</v>
      </c>
      <c r="F10" s="216"/>
      <c r="H10" s="112">
        <v>1200</v>
      </c>
      <c r="I10" s="112">
        <v>629.12</v>
      </c>
      <c r="J10" s="216"/>
      <c r="L10" s="112">
        <v>1000</v>
      </c>
      <c r="M10" s="112">
        <v>603.13</v>
      </c>
      <c r="N10" s="216"/>
      <c r="P10" s="112">
        <v>800</v>
      </c>
      <c r="Q10" s="112">
        <v>765.17</v>
      </c>
      <c r="R10" s="216"/>
      <c r="T10" s="112">
        <v>800</v>
      </c>
      <c r="U10" s="112">
        <v>538.72</v>
      </c>
      <c r="V10" s="216"/>
      <c r="W10" s="213"/>
      <c r="X10" s="112">
        <v>800</v>
      </c>
      <c r="Y10" s="112">
        <v>541.98</v>
      </c>
      <c r="Z10" s="216"/>
      <c r="AA10" s="213"/>
      <c r="AB10" s="112">
        <v>800</v>
      </c>
      <c r="AC10" s="112">
        <v>733.55</v>
      </c>
      <c r="AD10" s="216"/>
      <c r="AF10" s="218">
        <v>800</v>
      </c>
      <c r="AG10" s="218">
        <v>800</v>
      </c>
      <c r="AH10" s="112">
        <v>262.49</v>
      </c>
      <c r="AI10" s="216">
        <f>(AG10-AB10)/AB10</f>
        <v>0</v>
      </c>
      <c r="AJ10" s="80"/>
      <c r="AK10" s="112">
        <v>800</v>
      </c>
      <c r="AL10" s="112">
        <v>244.39</v>
      </c>
      <c r="AM10" s="396">
        <f>(AK10-AG10)/AG10</f>
        <v>0</v>
      </c>
      <c r="AO10" s="113">
        <v>800</v>
      </c>
      <c r="AP10" s="218">
        <f>AO10-AK10</f>
        <v>0</v>
      </c>
      <c r="AQ10" s="396">
        <f>(AO10-AK10)/AK10</f>
        <v>0</v>
      </c>
      <c r="AR10" s="166"/>
    </row>
    <row r="11" spans="1:44" x14ac:dyDescent="0.25">
      <c r="A11" s="161" t="s">
        <v>484</v>
      </c>
      <c r="B11" s="119" t="str">
        <f t="shared" si="0"/>
        <v>5230</v>
      </c>
      <c r="C11" s="161" t="s">
        <v>1780</v>
      </c>
      <c r="D11" s="112">
        <v>4000</v>
      </c>
      <c r="E11" s="112">
        <v>2500</v>
      </c>
      <c r="F11" s="216"/>
      <c r="H11" s="112">
        <v>4000</v>
      </c>
      <c r="I11" s="112">
        <v>2500</v>
      </c>
      <c r="J11" s="216"/>
      <c r="L11" s="112">
        <v>2600</v>
      </c>
      <c r="M11" s="112">
        <v>2125</v>
      </c>
      <c r="N11" s="216"/>
      <c r="P11" s="112">
        <v>2200</v>
      </c>
      <c r="Q11" s="112">
        <v>2180</v>
      </c>
      <c r="R11" s="216"/>
      <c r="T11" s="112">
        <v>2200</v>
      </c>
      <c r="U11" s="112">
        <v>2180</v>
      </c>
      <c r="V11" s="216"/>
      <c r="W11" s="213"/>
      <c r="X11" s="112">
        <v>2200</v>
      </c>
      <c r="Y11" s="112">
        <v>336.63</v>
      </c>
      <c r="Z11" s="216"/>
      <c r="AA11" s="213"/>
      <c r="AB11" s="112">
        <v>2200</v>
      </c>
      <c r="AC11" s="112">
        <v>2180</v>
      </c>
      <c r="AD11" s="216"/>
      <c r="AF11" s="112">
        <v>2200</v>
      </c>
      <c r="AG11" s="112">
        <v>2200</v>
      </c>
      <c r="AH11" s="112">
        <v>2180</v>
      </c>
      <c r="AI11" s="216">
        <f t="shared" ref="AI11:AI25" si="1">(AG11-AB11)/AB11</f>
        <v>0</v>
      </c>
      <c r="AJ11" s="80"/>
      <c r="AK11" s="112">
        <v>2200</v>
      </c>
      <c r="AL11" s="112">
        <v>2572</v>
      </c>
      <c r="AM11" s="396">
        <f t="shared" ref="AM11:AM25" si="2">(AK11-AG11)/AG11</f>
        <v>0</v>
      </c>
      <c r="AO11" s="113">
        <v>2600</v>
      </c>
      <c r="AP11" s="218">
        <f>AO11-AK11</f>
        <v>400</v>
      </c>
      <c r="AQ11" s="396">
        <f t="shared" ref="AQ11:AQ22" si="3">(AO11-AK11)/AK11</f>
        <v>0.18181818181818182</v>
      </c>
      <c r="AR11" s="166"/>
    </row>
    <row r="12" spans="1:44" s="394" customFormat="1" x14ac:dyDescent="0.25">
      <c r="A12" s="395" t="s">
        <v>1783</v>
      </c>
      <c r="B12" s="395" t="str">
        <f>MID(A12,14,4)</f>
        <v>5241</v>
      </c>
      <c r="C12" s="394" t="s">
        <v>1490</v>
      </c>
      <c r="D12" s="112"/>
      <c r="E12" s="112"/>
      <c r="F12" s="396"/>
      <c r="G12" s="397"/>
      <c r="H12" s="112"/>
      <c r="I12" s="112"/>
      <c r="J12" s="396"/>
      <c r="K12" s="397"/>
      <c r="L12" s="112"/>
      <c r="M12" s="112"/>
      <c r="N12" s="396"/>
      <c r="O12" s="397"/>
      <c r="P12" s="112"/>
      <c r="Q12" s="112"/>
      <c r="R12" s="396"/>
      <c r="S12" s="397"/>
      <c r="T12" s="112"/>
      <c r="U12" s="112"/>
      <c r="V12" s="396"/>
      <c r="W12" s="397"/>
      <c r="X12" s="112"/>
      <c r="Y12" s="112"/>
      <c r="Z12" s="396"/>
      <c r="AA12" s="397"/>
      <c r="AB12" s="112"/>
      <c r="AC12" s="112"/>
      <c r="AD12" s="396"/>
      <c r="AE12" s="397"/>
      <c r="AF12" s="112"/>
      <c r="AG12" s="112"/>
      <c r="AH12" s="112">
        <v>1205.48</v>
      </c>
      <c r="AI12" s="396"/>
      <c r="AJ12" s="396"/>
      <c r="AK12" s="112"/>
      <c r="AL12" s="112"/>
      <c r="AM12" s="396"/>
      <c r="AN12" s="397"/>
      <c r="AO12" s="113"/>
      <c r="AP12" s="218">
        <f>AO12-AK12</f>
        <v>0</v>
      </c>
      <c r="AQ12" s="396"/>
      <c r="AR12" s="400"/>
    </row>
    <row r="13" spans="1:44" x14ac:dyDescent="0.25">
      <c r="A13" s="161" t="s">
        <v>485</v>
      </c>
      <c r="B13" s="119" t="str">
        <f t="shared" si="0"/>
        <v>5242</v>
      </c>
      <c r="C13" s="161" t="s">
        <v>1487</v>
      </c>
      <c r="D13" s="112">
        <v>4000</v>
      </c>
      <c r="E13" s="112">
        <v>4574.8100000000004</v>
      </c>
      <c r="F13" s="216"/>
      <c r="H13" s="112">
        <v>4000</v>
      </c>
      <c r="I13" s="112">
        <v>5191.29</v>
      </c>
      <c r="J13" s="216"/>
      <c r="L13" s="112">
        <v>4000</v>
      </c>
      <c r="M13" s="112">
        <v>4975.84</v>
      </c>
      <c r="N13" s="216"/>
      <c r="P13" s="112">
        <v>4000</v>
      </c>
      <c r="Q13" s="112">
        <v>2222.02</v>
      </c>
      <c r="R13" s="216"/>
      <c r="T13" s="112">
        <v>4000</v>
      </c>
      <c r="U13" s="112">
        <v>3665.63</v>
      </c>
      <c r="V13" s="216"/>
      <c r="W13" s="213"/>
      <c r="X13" s="112">
        <v>4000</v>
      </c>
      <c r="Y13" s="112">
        <v>5552.5</v>
      </c>
      <c r="Z13" s="216"/>
      <c r="AA13" s="213"/>
      <c r="AB13" s="112">
        <v>4000</v>
      </c>
      <c r="AC13" s="112">
        <v>2806.55</v>
      </c>
      <c r="AD13" s="216"/>
      <c r="AF13" s="112">
        <v>4000</v>
      </c>
      <c r="AG13" s="112">
        <v>4000</v>
      </c>
      <c r="AH13" s="112">
        <v>1596.52</v>
      </c>
      <c r="AI13" s="216">
        <f t="shared" si="1"/>
        <v>0</v>
      </c>
      <c r="AJ13" s="80"/>
      <c r="AK13" s="112">
        <v>4000</v>
      </c>
      <c r="AL13" s="112">
        <v>734.22</v>
      </c>
      <c r="AM13" s="396">
        <f t="shared" si="2"/>
        <v>0</v>
      </c>
      <c r="AO13" s="113">
        <v>4000</v>
      </c>
      <c r="AP13" s="218">
        <f t="shared" ref="AP13:AP22" si="4">AO13-AK13</f>
        <v>0</v>
      </c>
      <c r="AQ13" s="396">
        <f t="shared" si="3"/>
        <v>0</v>
      </c>
      <c r="AR13" s="166"/>
    </row>
    <row r="14" spans="1:44" s="394" customFormat="1" x14ac:dyDescent="0.25">
      <c r="A14" s="395" t="s">
        <v>1784</v>
      </c>
      <c r="B14" s="395" t="str">
        <f t="shared" si="0"/>
        <v>5254</v>
      </c>
      <c r="C14" s="394" t="s">
        <v>1753</v>
      </c>
      <c r="D14" s="112"/>
      <c r="E14" s="112"/>
      <c r="F14" s="396"/>
      <c r="G14" s="397"/>
      <c r="H14" s="112"/>
      <c r="I14" s="112"/>
      <c r="J14" s="396"/>
      <c r="K14" s="397"/>
      <c r="L14" s="112"/>
      <c r="M14" s="112"/>
      <c r="N14" s="396"/>
      <c r="O14" s="397"/>
      <c r="P14" s="112"/>
      <c r="Q14" s="112"/>
      <c r="R14" s="396"/>
      <c r="S14" s="397"/>
      <c r="T14" s="112"/>
      <c r="U14" s="112"/>
      <c r="V14" s="396"/>
      <c r="W14" s="397"/>
      <c r="X14" s="112"/>
      <c r="Y14" s="112"/>
      <c r="Z14" s="396"/>
      <c r="AA14" s="397"/>
      <c r="AB14" s="112"/>
      <c r="AC14" s="112"/>
      <c r="AD14" s="396"/>
      <c r="AE14" s="397"/>
      <c r="AF14" s="112"/>
      <c r="AG14" s="112"/>
      <c r="AH14" s="112">
        <v>1440</v>
      </c>
      <c r="AI14" s="396"/>
      <c r="AJ14" s="396"/>
      <c r="AK14" s="112"/>
      <c r="AL14" s="112"/>
      <c r="AM14" s="396"/>
      <c r="AN14" s="397"/>
      <c r="AO14" s="113"/>
      <c r="AP14" s="218">
        <f>AO14-AK14</f>
        <v>0</v>
      </c>
      <c r="AQ14" s="396"/>
      <c r="AR14" s="400"/>
    </row>
    <row r="15" spans="1:44" s="211" customFormat="1" x14ac:dyDescent="0.25">
      <c r="A15" s="211" t="s">
        <v>486</v>
      </c>
      <c r="B15" s="214" t="str">
        <f t="shared" si="0"/>
        <v>5293</v>
      </c>
      <c r="C15" s="213" t="s">
        <v>1497</v>
      </c>
      <c r="D15" s="112">
        <v>7000</v>
      </c>
      <c r="E15" s="112">
        <v>6241.05</v>
      </c>
      <c r="F15" s="216"/>
      <c r="G15" s="213"/>
      <c r="H15" s="112">
        <v>7000</v>
      </c>
      <c r="I15" s="112">
        <v>6942.6</v>
      </c>
      <c r="J15" s="216"/>
      <c r="K15" s="213"/>
      <c r="L15" s="112">
        <v>7000</v>
      </c>
      <c r="M15" s="112">
        <v>5867.9</v>
      </c>
      <c r="N15" s="216"/>
      <c r="O15" s="213"/>
      <c r="P15" s="112">
        <v>7000</v>
      </c>
      <c r="Q15" s="112">
        <v>3628.3</v>
      </c>
      <c r="R15" s="216"/>
      <c r="S15" s="213"/>
      <c r="T15" s="112">
        <v>7000</v>
      </c>
      <c r="U15" s="112">
        <v>6460.7</v>
      </c>
      <c r="V15" s="216"/>
      <c r="W15" s="213"/>
      <c r="X15" s="112">
        <v>7000</v>
      </c>
      <c r="Y15" s="112">
        <v>243</v>
      </c>
      <c r="Z15" s="216"/>
      <c r="AA15" s="213"/>
      <c r="AB15" s="112">
        <v>7000</v>
      </c>
      <c r="AC15" s="112">
        <v>0</v>
      </c>
      <c r="AD15" s="216"/>
      <c r="AE15" s="213"/>
      <c r="AF15" s="112"/>
      <c r="AG15" s="112"/>
      <c r="AH15" s="112">
        <v>122.14</v>
      </c>
      <c r="AI15" s="216">
        <f t="shared" si="1"/>
        <v>-1</v>
      </c>
      <c r="AJ15" s="216"/>
      <c r="AK15" s="112"/>
      <c r="AL15" s="112"/>
      <c r="AM15" s="396"/>
      <c r="AN15" s="397"/>
      <c r="AO15" s="113"/>
      <c r="AP15" s="218">
        <f>AO15-AK15</f>
        <v>0</v>
      </c>
      <c r="AQ15" s="396"/>
      <c r="AR15" s="400"/>
    </row>
    <row r="16" spans="1:44" s="211" customFormat="1" x14ac:dyDescent="0.25">
      <c r="A16" s="211" t="s">
        <v>890</v>
      </c>
      <c r="B16" s="214" t="str">
        <f>MID(A16,14,4)</f>
        <v>5294</v>
      </c>
      <c r="C16" s="213" t="s">
        <v>1781</v>
      </c>
      <c r="D16" s="112">
        <v>0</v>
      </c>
      <c r="E16" s="112">
        <v>0</v>
      </c>
      <c r="F16" s="216"/>
      <c r="G16" s="213"/>
      <c r="H16" s="112">
        <v>0</v>
      </c>
      <c r="I16" s="112">
        <v>0</v>
      </c>
      <c r="J16" s="216"/>
      <c r="K16" s="213"/>
      <c r="L16" s="112">
        <v>0</v>
      </c>
      <c r="M16" s="112">
        <v>0</v>
      </c>
      <c r="N16" s="216"/>
      <c r="O16" s="213"/>
      <c r="P16" s="112">
        <v>0</v>
      </c>
      <c r="Q16" s="112">
        <v>3730.35</v>
      </c>
      <c r="R16" s="216"/>
      <c r="S16" s="213"/>
      <c r="T16" s="112">
        <v>0</v>
      </c>
      <c r="U16" s="112">
        <v>1871.32</v>
      </c>
      <c r="V16" s="216"/>
      <c r="W16" s="213"/>
      <c r="X16" s="112">
        <v>0</v>
      </c>
      <c r="Y16" s="112">
        <v>8893.0499999999993</v>
      </c>
      <c r="Z16" s="216"/>
      <c r="AA16" s="213"/>
      <c r="AB16" s="112">
        <v>0</v>
      </c>
      <c r="AC16" s="112">
        <v>8909.83</v>
      </c>
      <c r="AD16" s="216"/>
      <c r="AE16" s="213"/>
      <c r="AF16" s="245">
        <v>8000</v>
      </c>
      <c r="AG16" s="245">
        <v>8000</v>
      </c>
      <c r="AH16" s="245">
        <v>8132.37</v>
      </c>
      <c r="AI16" s="216"/>
      <c r="AJ16" s="216"/>
      <c r="AK16" s="112">
        <v>8500</v>
      </c>
      <c r="AL16" s="112">
        <v>5400</v>
      </c>
      <c r="AM16" s="396">
        <f t="shared" si="2"/>
        <v>6.25E-2</v>
      </c>
      <c r="AN16" s="397"/>
      <c r="AO16" s="113">
        <v>8500</v>
      </c>
      <c r="AP16" s="218">
        <f>AO16-AK16</f>
        <v>0</v>
      </c>
      <c r="AQ16" s="396">
        <f t="shared" si="3"/>
        <v>0</v>
      </c>
      <c r="AR16" s="288"/>
    </row>
    <row r="17" spans="1:44" s="211" customFormat="1" x14ac:dyDescent="0.25">
      <c r="A17" s="211" t="s">
        <v>487</v>
      </c>
      <c r="B17" s="214" t="str">
        <f t="shared" si="0"/>
        <v>5295</v>
      </c>
      <c r="C17" s="213" t="s">
        <v>1672</v>
      </c>
      <c r="D17" s="112">
        <v>2400</v>
      </c>
      <c r="E17" s="112">
        <v>3199</v>
      </c>
      <c r="F17" s="216"/>
      <c r="G17" s="213"/>
      <c r="H17" s="112">
        <v>2400</v>
      </c>
      <c r="I17" s="112">
        <v>1890</v>
      </c>
      <c r="J17" s="216"/>
      <c r="K17" s="213"/>
      <c r="L17" s="112">
        <v>2400</v>
      </c>
      <c r="M17" s="112">
        <v>1620.56</v>
      </c>
      <c r="N17" s="216"/>
      <c r="O17" s="213"/>
      <c r="P17" s="112">
        <v>2000</v>
      </c>
      <c r="Q17" s="112">
        <v>2641.82</v>
      </c>
      <c r="R17" s="216"/>
      <c r="S17" s="213"/>
      <c r="T17" s="112">
        <v>2000</v>
      </c>
      <c r="U17" s="112">
        <v>2846.88</v>
      </c>
      <c r="V17" s="216"/>
      <c r="W17" s="213"/>
      <c r="X17" s="112">
        <v>2000</v>
      </c>
      <c r="Y17" s="112">
        <v>1917.62</v>
      </c>
      <c r="Z17" s="216"/>
      <c r="AA17" s="213"/>
      <c r="AB17" s="112">
        <v>2500</v>
      </c>
      <c r="AC17" s="112">
        <v>1989.96</v>
      </c>
      <c r="AD17" s="216"/>
      <c r="AE17" s="213"/>
      <c r="AF17" s="112">
        <v>2500</v>
      </c>
      <c r="AG17" s="112">
        <v>2500</v>
      </c>
      <c r="AH17" s="112">
        <v>3237.31</v>
      </c>
      <c r="AI17" s="216">
        <f t="shared" si="1"/>
        <v>0</v>
      </c>
      <c r="AJ17" s="216"/>
      <c r="AK17" s="112">
        <v>3300</v>
      </c>
      <c r="AL17" s="112">
        <v>2198.04</v>
      </c>
      <c r="AM17" s="396">
        <f t="shared" si="2"/>
        <v>0.32</v>
      </c>
      <c r="AN17" s="397"/>
      <c r="AO17" s="113">
        <v>4400</v>
      </c>
      <c r="AP17" s="218">
        <f t="shared" si="4"/>
        <v>1100</v>
      </c>
      <c r="AQ17" s="396">
        <f t="shared" si="3"/>
        <v>0.33333333333333331</v>
      </c>
      <c r="AR17" s="400" t="s">
        <v>1435</v>
      </c>
    </row>
    <row r="18" spans="1:44" s="211" customFormat="1" hidden="1" x14ac:dyDescent="0.25">
      <c r="A18" s="211" t="s">
        <v>954</v>
      </c>
      <c r="B18" s="214" t="str">
        <f>MID(A18,14,4)</f>
        <v>5296</v>
      </c>
      <c r="C18" s="213" t="s">
        <v>1782</v>
      </c>
      <c r="D18" s="112">
        <v>0</v>
      </c>
      <c r="E18" s="112">
        <v>0</v>
      </c>
      <c r="F18" s="216"/>
      <c r="G18" s="213"/>
      <c r="H18" s="112">
        <v>0</v>
      </c>
      <c r="I18" s="112">
        <v>0</v>
      </c>
      <c r="J18" s="216"/>
      <c r="K18" s="213"/>
      <c r="L18" s="112">
        <v>0</v>
      </c>
      <c r="M18" s="112">
        <v>725</v>
      </c>
      <c r="N18" s="216"/>
      <c r="O18" s="213"/>
      <c r="P18" s="112">
        <v>0</v>
      </c>
      <c r="Q18" s="112">
        <v>0</v>
      </c>
      <c r="R18" s="216"/>
      <c r="S18" s="213"/>
      <c r="T18" s="112">
        <v>0</v>
      </c>
      <c r="U18" s="112">
        <v>0</v>
      </c>
      <c r="V18" s="216"/>
      <c r="W18" s="213"/>
      <c r="X18" s="112">
        <v>0</v>
      </c>
      <c r="Y18" s="112">
        <v>0</v>
      </c>
      <c r="Z18" s="216"/>
      <c r="AA18" s="213"/>
      <c r="AB18" s="112">
        <v>0</v>
      </c>
      <c r="AC18" s="112">
        <v>0</v>
      </c>
      <c r="AD18" s="216"/>
      <c r="AE18" s="213"/>
      <c r="AF18" s="112"/>
      <c r="AG18" s="112"/>
      <c r="AH18" s="112"/>
      <c r="AI18" s="216" t="e">
        <f t="shared" si="1"/>
        <v>#DIV/0!</v>
      </c>
      <c r="AJ18" s="216"/>
      <c r="AK18" s="112">
        <v>0</v>
      </c>
      <c r="AL18" s="112"/>
      <c r="AM18" s="396" t="e">
        <f t="shared" si="2"/>
        <v>#DIV/0!</v>
      </c>
      <c r="AN18" s="397"/>
      <c r="AO18" s="113"/>
      <c r="AP18" s="218">
        <f t="shared" si="4"/>
        <v>0</v>
      </c>
      <c r="AQ18" s="396" t="e">
        <f t="shared" si="3"/>
        <v>#DIV/0!</v>
      </c>
      <c r="AR18" s="288"/>
    </row>
    <row r="19" spans="1:44" s="211" customFormat="1" x14ac:dyDescent="0.25">
      <c r="A19" s="211" t="s">
        <v>488</v>
      </c>
      <c r="B19" s="214" t="str">
        <f>MID(A19,14,4)</f>
        <v>5399</v>
      </c>
      <c r="C19" s="213" t="s">
        <v>1602</v>
      </c>
      <c r="D19" s="112">
        <v>50082.52</v>
      </c>
      <c r="E19" s="112">
        <v>52050</v>
      </c>
      <c r="F19" s="216"/>
      <c r="G19" s="213"/>
      <c r="H19" s="112">
        <v>48000</v>
      </c>
      <c r="I19" s="112">
        <v>38689.58</v>
      </c>
      <c r="J19" s="216"/>
      <c r="K19" s="213"/>
      <c r="L19" s="112">
        <v>50000</v>
      </c>
      <c r="M19" s="112">
        <v>51664.4</v>
      </c>
      <c r="N19" s="216"/>
      <c r="O19" s="213"/>
      <c r="P19" s="112">
        <v>52000</v>
      </c>
      <c r="Q19" s="112">
        <v>52000</v>
      </c>
      <c r="R19" s="216"/>
      <c r="S19" s="213"/>
      <c r="T19" s="112">
        <v>52780</v>
      </c>
      <c r="U19" s="112">
        <v>53107.72</v>
      </c>
      <c r="V19" s="216"/>
      <c r="W19" s="213"/>
      <c r="X19" s="112">
        <v>53466.14</v>
      </c>
      <c r="Y19" s="112">
        <v>53466.14</v>
      </c>
      <c r="Z19" s="216"/>
      <c r="AA19" s="213"/>
      <c r="AB19" s="112">
        <v>54000</v>
      </c>
      <c r="AC19" s="112">
        <v>54000</v>
      </c>
      <c r="AD19" s="216"/>
      <c r="AE19" s="213"/>
      <c r="AF19" s="245">
        <v>54540</v>
      </c>
      <c r="AG19" s="245">
        <v>54540</v>
      </c>
      <c r="AH19" s="245">
        <v>54540</v>
      </c>
      <c r="AI19" s="216">
        <f t="shared" si="1"/>
        <v>0.01</v>
      </c>
      <c r="AJ19" s="216"/>
      <c r="AK19" s="112">
        <v>64000</v>
      </c>
      <c r="AL19" s="112">
        <v>45228.03</v>
      </c>
      <c r="AM19" s="396">
        <f t="shared" si="2"/>
        <v>0.17345067840117345</v>
      </c>
      <c r="AN19" s="397"/>
      <c r="AO19" s="113">
        <v>68000</v>
      </c>
      <c r="AP19" s="218">
        <f>AO19-AK19</f>
        <v>4000</v>
      </c>
      <c r="AQ19" s="396">
        <f t="shared" si="3"/>
        <v>6.25E-2</v>
      </c>
      <c r="AR19" s="288"/>
    </row>
    <row r="20" spans="1:44" s="211" customFormat="1" ht="14.25" x14ac:dyDescent="0.3">
      <c r="A20" s="214" t="s">
        <v>1229</v>
      </c>
      <c r="B20" s="214" t="str">
        <f>MID(A20,14,4)</f>
        <v>5430</v>
      </c>
      <c r="C20" s="211" t="s">
        <v>1673</v>
      </c>
      <c r="D20" s="112">
        <v>0</v>
      </c>
      <c r="E20" s="112">
        <v>0</v>
      </c>
      <c r="F20" s="216"/>
      <c r="G20" s="213"/>
      <c r="H20" s="112">
        <v>0</v>
      </c>
      <c r="I20" s="112">
        <v>0</v>
      </c>
      <c r="J20" s="216"/>
      <c r="K20" s="213"/>
      <c r="L20" s="112">
        <v>0</v>
      </c>
      <c r="M20" s="112">
        <v>0</v>
      </c>
      <c r="N20" s="216"/>
      <c r="O20" s="213"/>
      <c r="P20" s="112">
        <v>0</v>
      </c>
      <c r="Q20" s="112">
        <v>0</v>
      </c>
      <c r="R20" s="216"/>
      <c r="S20" s="213"/>
      <c r="T20" s="112">
        <v>0</v>
      </c>
      <c r="U20" s="112">
        <v>92.34</v>
      </c>
      <c r="V20" s="216"/>
      <c r="W20" s="213"/>
      <c r="X20" s="112">
        <v>0</v>
      </c>
      <c r="Y20" s="112">
        <v>104.9</v>
      </c>
      <c r="Z20" s="216"/>
      <c r="AA20" s="213"/>
      <c r="AB20" s="112">
        <v>0</v>
      </c>
      <c r="AC20" s="112">
        <v>787.01</v>
      </c>
      <c r="AD20" s="216"/>
      <c r="AE20" s="213"/>
      <c r="AF20" s="112"/>
      <c r="AG20" s="112"/>
      <c r="AH20" s="112"/>
      <c r="AI20" s="216"/>
      <c r="AJ20" s="216"/>
      <c r="AK20" s="112">
        <v>0</v>
      </c>
      <c r="AL20" s="112">
        <v>274.52</v>
      </c>
      <c r="AM20" s="396"/>
      <c r="AN20" s="397"/>
      <c r="AO20" s="113">
        <v>500</v>
      </c>
      <c r="AP20" s="218">
        <f>AO20-AK20</f>
        <v>500</v>
      </c>
      <c r="AQ20" s="396" t="e">
        <f t="shared" si="3"/>
        <v>#DIV/0!</v>
      </c>
      <c r="AR20" s="156"/>
    </row>
    <row r="21" spans="1:44" s="394" customFormat="1" ht="14.25" hidden="1" x14ac:dyDescent="0.3">
      <c r="A21" s="395" t="s">
        <v>1968</v>
      </c>
      <c r="B21" s="395" t="str">
        <f>MID(A21,14,4)</f>
        <v>5450</v>
      </c>
      <c r="C21" s="394" t="s">
        <v>1644</v>
      </c>
      <c r="D21" s="112"/>
      <c r="E21" s="112"/>
      <c r="F21" s="396"/>
      <c r="G21" s="397"/>
      <c r="H21" s="112"/>
      <c r="I21" s="112"/>
      <c r="J21" s="396"/>
      <c r="K21" s="397"/>
      <c r="L21" s="112"/>
      <c r="M21" s="112"/>
      <c r="N21" s="396"/>
      <c r="O21" s="397"/>
      <c r="P21" s="112"/>
      <c r="Q21" s="112"/>
      <c r="R21" s="396"/>
      <c r="S21" s="397"/>
      <c r="T21" s="112"/>
      <c r="U21" s="112"/>
      <c r="V21" s="396"/>
      <c r="W21" s="397"/>
      <c r="X21" s="112"/>
      <c r="Y21" s="112"/>
      <c r="Z21" s="396"/>
      <c r="AA21" s="397"/>
      <c r="AB21" s="112"/>
      <c r="AC21" s="112"/>
      <c r="AD21" s="396"/>
      <c r="AE21" s="397"/>
      <c r="AF21" s="112"/>
      <c r="AG21" s="112"/>
      <c r="AH21" s="112"/>
      <c r="AI21" s="396"/>
      <c r="AJ21" s="396"/>
      <c r="AK21" s="112"/>
      <c r="AL21" s="112">
        <v>71.040000000000006</v>
      </c>
      <c r="AM21" s="396"/>
      <c r="AN21" s="397"/>
      <c r="AO21" s="113"/>
      <c r="AP21" s="218">
        <f>AO21-AK21</f>
        <v>0</v>
      </c>
      <c r="AQ21" s="396" t="e">
        <f t="shared" si="3"/>
        <v>#DIV/0!</v>
      </c>
      <c r="AR21" s="156"/>
    </row>
    <row r="22" spans="1:44" ht="14.25" x14ac:dyDescent="0.3">
      <c r="A22" s="214" t="s">
        <v>1397</v>
      </c>
      <c r="B22" s="119" t="str">
        <f t="shared" si="0"/>
        <v>5870</v>
      </c>
      <c r="C22" s="211" t="s">
        <v>1675</v>
      </c>
      <c r="D22" s="112">
        <v>500</v>
      </c>
      <c r="E22" s="112">
        <v>0</v>
      </c>
      <c r="F22" s="216"/>
      <c r="H22" s="112">
        <v>500</v>
      </c>
      <c r="I22" s="112">
        <v>0</v>
      </c>
      <c r="J22" s="216"/>
      <c r="L22" s="112">
        <v>0</v>
      </c>
      <c r="M22" s="112">
        <v>0</v>
      </c>
      <c r="N22" s="216"/>
      <c r="P22" s="112">
        <v>0</v>
      </c>
      <c r="Q22" s="112">
        <v>0</v>
      </c>
      <c r="R22" s="216"/>
      <c r="T22" s="112">
        <v>0</v>
      </c>
      <c r="U22" s="112">
        <v>0</v>
      </c>
      <c r="V22" s="216"/>
      <c r="W22" s="213"/>
      <c r="X22" s="112">
        <v>0</v>
      </c>
      <c r="Y22" s="112">
        <v>0</v>
      </c>
      <c r="Z22" s="216"/>
      <c r="AA22" s="213"/>
      <c r="AB22" s="112">
        <v>0</v>
      </c>
      <c r="AC22" s="112">
        <v>0</v>
      </c>
      <c r="AD22" s="216"/>
      <c r="AF22" s="112"/>
      <c r="AG22" s="112"/>
      <c r="AH22" s="112"/>
      <c r="AI22" s="216" t="e">
        <f t="shared" si="1"/>
        <v>#DIV/0!</v>
      </c>
      <c r="AJ22" s="80"/>
      <c r="AK22" s="112">
        <v>0</v>
      </c>
      <c r="AL22" s="112"/>
      <c r="AM22" s="396" t="e">
        <f t="shared" si="2"/>
        <v>#DIV/0!</v>
      </c>
      <c r="AO22" s="113">
        <v>500</v>
      </c>
      <c r="AP22" s="218">
        <f t="shared" si="4"/>
        <v>500</v>
      </c>
      <c r="AQ22" s="396" t="e">
        <f t="shared" si="3"/>
        <v>#DIV/0!</v>
      </c>
      <c r="AR22" s="156"/>
    </row>
    <row r="23" spans="1:44" s="114" customFormat="1" x14ac:dyDescent="0.25">
      <c r="A23" s="219"/>
      <c r="B23" s="219"/>
      <c r="C23" s="219" t="s">
        <v>279</v>
      </c>
      <c r="D23" s="220">
        <f>SUM(D10:D22)</f>
        <v>69182.51999999999</v>
      </c>
      <c r="E23" s="220">
        <f>SUM(E10:E22)</f>
        <v>69182.52</v>
      </c>
      <c r="F23" s="221">
        <v>-1.5E-3</v>
      </c>
      <c r="G23" s="219"/>
      <c r="H23" s="220">
        <f>SUM(H10:H22)</f>
        <v>67100</v>
      </c>
      <c r="I23" s="220">
        <f>SUM(I10:I22)</f>
        <v>55842.590000000004</v>
      </c>
      <c r="J23" s="221">
        <v>-1.5E-3</v>
      </c>
      <c r="K23" s="219"/>
      <c r="L23" s="220">
        <f>SUM(L10:L22)</f>
        <v>67000</v>
      </c>
      <c r="M23" s="220">
        <f>SUM(M10:M22)</f>
        <v>67581.83</v>
      </c>
      <c r="N23" s="221">
        <v>-1.5E-3</v>
      </c>
      <c r="O23" s="219"/>
      <c r="P23" s="220">
        <f>SUM(P10:P22)</f>
        <v>68000</v>
      </c>
      <c r="Q23" s="220">
        <f>SUM(Q10:Q22)</f>
        <v>67167.66</v>
      </c>
      <c r="R23" s="221">
        <v>-1.5E-3</v>
      </c>
      <c r="S23" s="219"/>
      <c r="T23" s="220">
        <f>SUM(T10:T22)</f>
        <v>68780</v>
      </c>
      <c r="U23" s="220">
        <f>SUM(U10:U22)</f>
        <v>70763.31</v>
      </c>
      <c r="V23" s="221">
        <v>-1.5E-3</v>
      </c>
      <c r="W23" s="219"/>
      <c r="X23" s="220">
        <f>SUM(X10:X22)</f>
        <v>69466.14</v>
      </c>
      <c r="Y23" s="220">
        <f>SUM(Y10:Y22)</f>
        <v>71055.819999999992</v>
      </c>
      <c r="Z23" s="222">
        <f>(X23-T23)/T23</f>
        <v>9.9758650770572759E-3</v>
      </c>
      <c r="AA23" s="219"/>
      <c r="AB23" s="220">
        <f>SUM(AB10:AB22)</f>
        <v>70500</v>
      </c>
      <c r="AC23" s="220">
        <f>SUM(AC10:AC22)</f>
        <v>71406.899999999994</v>
      </c>
      <c r="AD23" s="221">
        <f>(AB23-X23)/X23</f>
        <v>1.4882934333187372E-2</v>
      </c>
      <c r="AE23" s="219"/>
      <c r="AF23" s="220">
        <f>SUM(AF10:AF22)</f>
        <v>72040</v>
      </c>
      <c r="AG23" s="220">
        <f>SUM(AG10:AG22)</f>
        <v>72040</v>
      </c>
      <c r="AH23" s="220">
        <f>SUM(AH10:AH22)</f>
        <v>72716.31</v>
      </c>
      <c r="AI23" s="221">
        <f t="shared" si="1"/>
        <v>2.1843971631205675E-2</v>
      </c>
      <c r="AJ23" s="221"/>
      <c r="AK23" s="401">
        <f>SUM(AK10:AK22)</f>
        <v>82800</v>
      </c>
      <c r="AL23" s="401">
        <f>SUM(AL10:AL22)</f>
        <v>56722.239999999998</v>
      </c>
      <c r="AM23" s="221">
        <f t="shared" si="2"/>
        <v>0.14936146585230428</v>
      </c>
      <c r="AN23" s="219"/>
      <c r="AO23" s="223">
        <f>SUM(AO10:AO22)</f>
        <v>89300</v>
      </c>
      <c r="AP23" s="223">
        <f>SUM(AP10:AP22)</f>
        <v>6500</v>
      </c>
      <c r="AQ23" s="221">
        <f>(AO23-AK23)/AK23</f>
        <v>7.85024154589372E-2</v>
      </c>
      <c r="AR23" s="219"/>
    </row>
    <row r="24" spans="1:44" s="211" customFormat="1" x14ac:dyDescent="0.25">
      <c r="D24" s="112"/>
      <c r="E24" s="112"/>
      <c r="F24" s="216"/>
      <c r="G24" s="213"/>
      <c r="H24" s="112"/>
      <c r="I24" s="112"/>
      <c r="J24" s="216"/>
      <c r="K24" s="213"/>
      <c r="L24" s="112"/>
      <c r="M24" s="112"/>
      <c r="N24" s="216"/>
      <c r="O24" s="213"/>
      <c r="P24" s="112"/>
      <c r="Q24" s="112"/>
      <c r="R24" s="216"/>
      <c r="S24" s="213"/>
      <c r="T24" s="112"/>
      <c r="U24" s="112"/>
      <c r="V24" s="216"/>
      <c r="W24" s="213"/>
      <c r="X24" s="112"/>
      <c r="Y24" s="112"/>
      <c r="Z24" s="216"/>
      <c r="AA24" s="213"/>
      <c r="AB24" s="112"/>
      <c r="AC24" s="112"/>
      <c r="AD24" s="216"/>
      <c r="AE24" s="213"/>
      <c r="AF24" s="112"/>
      <c r="AG24" s="112"/>
      <c r="AH24" s="112"/>
      <c r="AI24" s="216"/>
      <c r="AJ24" s="216"/>
      <c r="AK24" s="112"/>
      <c r="AL24" s="112"/>
      <c r="AM24" s="396"/>
      <c r="AN24" s="397"/>
      <c r="AO24" s="212"/>
      <c r="AP24" s="212"/>
      <c r="AQ24" s="396"/>
    </row>
    <row r="25" spans="1:44" s="114" customFormat="1" ht="12.75" x14ac:dyDescent="0.2">
      <c r="A25" s="228"/>
      <c r="B25" s="228"/>
      <c r="C25" s="233" t="s">
        <v>280</v>
      </c>
      <c r="D25" s="230">
        <f>D7+D23</f>
        <v>69182.51999999999</v>
      </c>
      <c r="E25" s="230">
        <f>E7+E23</f>
        <v>69182.52</v>
      </c>
      <c r="F25" s="231">
        <v>-1.5E-3</v>
      </c>
      <c r="G25" s="228"/>
      <c r="H25" s="230">
        <f>H7+H23</f>
        <v>67100</v>
      </c>
      <c r="I25" s="230">
        <f>I7+I23</f>
        <v>55842.590000000004</v>
      </c>
      <c r="J25" s="231">
        <v>-1.5E-3</v>
      </c>
      <c r="K25" s="228"/>
      <c r="L25" s="230">
        <f>L7+L23</f>
        <v>67000</v>
      </c>
      <c r="M25" s="230">
        <f>M7+M23</f>
        <v>67581.83</v>
      </c>
      <c r="N25" s="231">
        <v>-1.5E-3</v>
      </c>
      <c r="O25" s="228"/>
      <c r="P25" s="230">
        <f>P7+P23</f>
        <v>68000</v>
      </c>
      <c r="Q25" s="230">
        <f>Q7+Q23</f>
        <v>67167.66</v>
      </c>
      <c r="R25" s="231">
        <v>-1.5E-3</v>
      </c>
      <c r="S25" s="228"/>
      <c r="T25" s="230">
        <f>T7+T23</f>
        <v>68780</v>
      </c>
      <c r="U25" s="230">
        <f>U7+U23</f>
        <v>70763.31</v>
      </c>
      <c r="V25" s="231">
        <v>-1.5E-3</v>
      </c>
      <c r="W25" s="228"/>
      <c r="X25" s="230">
        <f>X7+X23</f>
        <v>69466.14</v>
      </c>
      <c r="Y25" s="230">
        <f>Y7+Y23</f>
        <v>71055.819999999992</v>
      </c>
      <c r="Z25" s="231">
        <f>(X25-T25)/T25</f>
        <v>9.9758650770572759E-3</v>
      </c>
      <c r="AA25" s="228"/>
      <c r="AB25" s="230">
        <f>AB7+AB23</f>
        <v>70500</v>
      </c>
      <c r="AC25" s="230">
        <f>AC7+AC23</f>
        <v>71406.899999999994</v>
      </c>
      <c r="AD25" s="231">
        <f>(AB25-X25)/X25</f>
        <v>1.4882934333187372E-2</v>
      </c>
      <c r="AE25" s="228"/>
      <c r="AF25" s="230">
        <f>AF7+AF23</f>
        <v>72040</v>
      </c>
      <c r="AG25" s="230">
        <f>AG7+AG23</f>
        <v>72040</v>
      </c>
      <c r="AH25" s="230">
        <f>AH7+AH23</f>
        <v>72716.31</v>
      </c>
      <c r="AI25" s="231">
        <f t="shared" si="1"/>
        <v>2.1843971631205675E-2</v>
      </c>
      <c r="AJ25" s="231"/>
      <c r="AK25" s="402">
        <f>AK7+AK23</f>
        <v>82800</v>
      </c>
      <c r="AL25" s="402">
        <f>AL7+AL23</f>
        <v>56722.239999999998</v>
      </c>
      <c r="AM25" s="231">
        <f t="shared" si="2"/>
        <v>0.14936146585230428</v>
      </c>
      <c r="AN25" s="228"/>
      <c r="AO25" s="230">
        <f>AO7+AO23</f>
        <v>89300</v>
      </c>
      <c r="AP25" s="402">
        <f>AP7+AP23</f>
        <v>6500</v>
      </c>
      <c r="AQ25" s="231">
        <f>(AO25-AK25)/AK25</f>
        <v>7.85024154589372E-2</v>
      </c>
      <c r="AR25" s="233"/>
    </row>
    <row r="26" spans="1:44" x14ac:dyDescent="0.25">
      <c r="D26" s="120"/>
      <c r="H26" s="120"/>
      <c r="L26" s="120"/>
      <c r="P26" s="120"/>
      <c r="T26" s="120"/>
      <c r="X26" s="120"/>
      <c r="AB26" s="120"/>
      <c r="AF26" s="120"/>
      <c r="AG26" s="120"/>
      <c r="AK26" s="403"/>
      <c r="AQ26" s="211"/>
    </row>
    <row r="27" spans="1:44" s="111" customFormat="1" thickBot="1" x14ac:dyDescent="0.25">
      <c r="C27" s="111" t="s">
        <v>281</v>
      </c>
      <c r="D27" s="122"/>
      <c r="E27" s="121">
        <f>D25-E25</f>
        <v>0</v>
      </c>
      <c r="G27" s="118"/>
      <c r="H27" s="122"/>
      <c r="I27" s="121">
        <f>H25-I25</f>
        <v>11257.409999999996</v>
      </c>
      <c r="K27" s="118"/>
      <c r="L27" s="122"/>
      <c r="M27" s="121">
        <f>L25-M25</f>
        <v>-581.83000000000175</v>
      </c>
      <c r="O27" s="118"/>
      <c r="P27" s="122"/>
      <c r="Q27" s="121">
        <f>P25-Q25</f>
        <v>832.33999999999651</v>
      </c>
      <c r="S27" s="118"/>
      <c r="T27" s="122"/>
      <c r="U27" s="121">
        <f>T25-U25</f>
        <v>-1983.3099999999977</v>
      </c>
      <c r="W27" s="118"/>
      <c r="X27" s="122"/>
      <c r="Y27" s="121">
        <f>X25-Y25</f>
        <v>-1589.679999999993</v>
      </c>
      <c r="AA27" s="118"/>
      <c r="AB27" s="122"/>
      <c r="AC27" s="121">
        <f>AB25-AC25</f>
        <v>-906.89999999999418</v>
      </c>
      <c r="AE27" s="118"/>
      <c r="AF27" s="122"/>
      <c r="AG27" s="122"/>
      <c r="AH27" s="121">
        <f>AG25-AH25</f>
        <v>-676.30999999999767</v>
      </c>
      <c r="AK27" s="122"/>
      <c r="AL27" s="121">
        <f>AK25-AL25</f>
        <v>26077.760000000002</v>
      </c>
      <c r="AN27" s="118"/>
      <c r="AO27" s="123"/>
      <c r="AP27" s="123"/>
    </row>
    <row r="28" spans="1:44" ht="14.25" thickTop="1" x14ac:dyDescent="0.25">
      <c r="D28" s="120"/>
      <c r="F28" s="216"/>
      <c r="H28" s="120"/>
      <c r="J28" s="216"/>
      <c r="L28" s="120"/>
      <c r="N28" s="216"/>
      <c r="P28" s="120"/>
      <c r="R28" s="216"/>
      <c r="T28" s="120"/>
      <c r="V28" s="80"/>
      <c r="X28" s="120"/>
      <c r="AB28" s="120"/>
      <c r="AF28" s="120"/>
      <c r="AG28" s="120"/>
      <c r="AK28" s="403"/>
      <c r="AQ28" s="211"/>
    </row>
    <row r="29" spans="1:44" x14ac:dyDescent="0.25">
      <c r="D29" s="120"/>
      <c r="F29" s="216"/>
      <c r="H29" s="120"/>
      <c r="J29" s="216"/>
      <c r="L29" s="120"/>
      <c r="N29" s="216"/>
      <c r="P29" s="120"/>
      <c r="R29" s="216"/>
      <c r="T29" s="120"/>
      <c r="V29" s="80"/>
      <c r="X29" s="120"/>
      <c r="AB29" s="120"/>
      <c r="AF29" s="120"/>
      <c r="AG29" s="120"/>
      <c r="AK29" s="403"/>
      <c r="AQ29" s="211"/>
    </row>
    <row r="30" spans="1:44" x14ac:dyDescent="0.25">
      <c r="D30" s="120"/>
      <c r="F30" s="216"/>
      <c r="H30" s="120"/>
      <c r="J30" s="216"/>
      <c r="L30" s="120"/>
      <c r="N30" s="216"/>
      <c r="P30" s="120"/>
      <c r="R30" s="216"/>
      <c r="T30" s="120"/>
      <c r="V30" s="80"/>
      <c r="X30" s="120"/>
      <c r="AB30" s="120"/>
      <c r="AF30" s="120"/>
      <c r="AG30" s="120"/>
      <c r="AK30" s="403"/>
    </row>
    <row r="31" spans="1:44" x14ac:dyDescent="0.25">
      <c r="D31" s="120"/>
      <c r="F31" s="216"/>
      <c r="H31" s="120"/>
      <c r="J31" s="216"/>
      <c r="L31" s="120"/>
      <c r="N31" s="216"/>
      <c r="P31" s="120"/>
      <c r="R31" s="216"/>
      <c r="T31" s="120"/>
      <c r="V31" s="80"/>
      <c r="X31" s="120"/>
      <c r="AB31" s="120"/>
      <c r="AF31" s="120"/>
      <c r="AG31" s="120"/>
      <c r="AK31" s="403"/>
    </row>
    <row r="32" spans="1:44" x14ac:dyDescent="0.25">
      <c r="D32" s="120"/>
      <c r="F32" s="216"/>
      <c r="H32" s="120"/>
      <c r="J32" s="216"/>
      <c r="L32" s="120"/>
      <c r="N32" s="216"/>
      <c r="P32" s="120"/>
      <c r="R32" s="216"/>
      <c r="T32" s="120"/>
      <c r="V32" s="80"/>
      <c r="X32" s="120"/>
      <c r="AB32" s="120"/>
      <c r="AF32" s="120"/>
      <c r="AG32" s="120"/>
      <c r="AK32" s="403"/>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F38" s="216"/>
      <c r="H38" s="120"/>
      <c r="J38" s="216"/>
      <c r="L38" s="120"/>
      <c r="N38" s="216"/>
      <c r="P38" s="120"/>
      <c r="R38" s="216"/>
      <c r="T38" s="120"/>
      <c r="V38" s="80"/>
      <c r="X38" s="120"/>
      <c r="AB38" s="120"/>
      <c r="AF38" s="120"/>
      <c r="AG38" s="120"/>
      <c r="AK38" s="403"/>
    </row>
    <row r="39" spans="4:37" x14ac:dyDescent="0.25">
      <c r="D39" s="120"/>
      <c r="F39" s="216"/>
      <c r="H39" s="120"/>
      <c r="J39" s="216"/>
      <c r="L39" s="120"/>
      <c r="N39" s="216"/>
      <c r="P39" s="120"/>
      <c r="R39" s="216"/>
      <c r="T39" s="120"/>
      <c r="V39" s="80"/>
      <c r="X39" s="120"/>
      <c r="AB39" s="120"/>
      <c r="AF39" s="120"/>
      <c r="AG39" s="120"/>
      <c r="AK39" s="403"/>
    </row>
    <row r="40" spans="4:37" x14ac:dyDescent="0.25">
      <c r="D40" s="120"/>
      <c r="F40" s="216"/>
      <c r="H40" s="120"/>
      <c r="J40" s="216"/>
      <c r="L40" s="120"/>
      <c r="N40" s="216"/>
      <c r="P40" s="120"/>
      <c r="R40" s="216"/>
      <c r="T40" s="120"/>
      <c r="V40" s="80"/>
      <c r="X40" s="120"/>
      <c r="AB40" s="120"/>
      <c r="AF40" s="120"/>
      <c r="AG40" s="120"/>
      <c r="AK40" s="403"/>
    </row>
    <row r="41" spans="4:37" x14ac:dyDescent="0.25">
      <c r="D41" s="120"/>
      <c r="F41" s="216"/>
      <c r="H41" s="120"/>
      <c r="J41" s="216"/>
      <c r="L41" s="120"/>
      <c r="N41" s="216"/>
      <c r="P41" s="120"/>
      <c r="R41" s="216"/>
      <c r="T41" s="120"/>
      <c r="V41" s="80"/>
      <c r="X41" s="120"/>
      <c r="AB41" s="120"/>
      <c r="AF41" s="120"/>
      <c r="AG41" s="120"/>
      <c r="AK41" s="403"/>
    </row>
    <row r="42" spans="4:37" x14ac:dyDescent="0.25">
      <c r="D42" s="120"/>
      <c r="F42" s="216"/>
      <c r="H42" s="120"/>
      <c r="J42" s="216"/>
      <c r="L42" s="120"/>
      <c r="N42" s="216"/>
      <c r="P42" s="120"/>
      <c r="R42" s="216"/>
      <c r="T42" s="120"/>
      <c r="V42" s="80"/>
      <c r="X42" s="120"/>
      <c r="AB42" s="120"/>
      <c r="AF42" s="120"/>
      <c r="AG42" s="120"/>
      <c r="AK42" s="403"/>
    </row>
    <row r="43" spans="4:37" x14ac:dyDescent="0.25">
      <c r="D43" s="120"/>
      <c r="F43" s="216"/>
      <c r="H43" s="120"/>
      <c r="J43" s="216"/>
      <c r="L43" s="120"/>
      <c r="N43" s="216"/>
      <c r="P43" s="120"/>
      <c r="R43" s="216"/>
      <c r="T43" s="120"/>
      <c r="V43" s="80"/>
      <c r="X43" s="120"/>
      <c r="AB43" s="120"/>
      <c r="AF43" s="120"/>
      <c r="AG43" s="120"/>
      <c r="AK43" s="403"/>
    </row>
    <row r="44" spans="4:37" x14ac:dyDescent="0.25">
      <c r="D44" s="120"/>
      <c r="F44" s="216"/>
      <c r="H44" s="120"/>
      <c r="J44" s="216"/>
      <c r="L44" s="120"/>
      <c r="N44" s="216"/>
      <c r="P44" s="120"/>
      <c r="R44" s="216"/>
      <c r="T44" s="120"/>
      <c r="V44" s="80"/>
      <c r="X44" s="120"/>
      <c r="AB44" s="120"/>
      <c r="AF44" s="120"/>
      <c r="AG44" s="120"/>
      <c r="AK44" s="403"/>
    </row>
    <row r="45" spans="4:37" x14ac:dyDescent="0.25">
      <c r="D45" s="120"/>
      <c r="F45" s="216"/>
      <c r="H45" s="120"/>
      <c r="J45" s="216"/>
      <c r="L45" s="120"/>
      <c r="N45" s="216"/>
      <c r="P45" s="120"/>
      <c r="R45" s="216"/>
      <c r="T45" s="120"/>
      <c r="V45" s="8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403" t="s">
        <v>1511</v>
      </c>
      <c r="E128" s="211">
        <v>30.35</v>
      </c>
      <c r="F128" s="211">
        <v>25</v>
      </c>
      <c r="G128" s="397"/>
      <c r="H128" s="403"/>
      <c r="I128" s="394"/>
      <c r="J128" s="394"/>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0" orientation="landscape" r:id="rId1"/>
  <headerFooter alignWithMargins="0">
    <oddHeader>&amp;C&amp;"-,Bold"Proposed Budget &amp; Analysis Report for FY20</oddHeader>
    <oddFooter>&amp;C&amp;D&amp;T&amp;R&amp;A</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3:BB312"/>
  <sheetViews>
    <sheetView zoomScaleNormal="100" zoomScaleSheetLayoutView="100" workbookViewId="0">
      <selection activeCell="C15" sqref="C15"/>
    </sheetView>
  </sheetViews>
  <sheetFormatPr defaultRowHeight="13.5" x14ac:dyDescent="0.25"/>
  <cols>
    <col min="1" max="1" width="20" style="161" customWidth="1"/>
    <col min="2" max="2" width="5.5703125" style="161" customWidth="1"/>
    <col min="3" max="3" width="33.85546875" style="161" customWidth="1"/>
    <col min="4" max="4" width="13.28515625" style="211" hidden="1" customWidth="1"/>
    <col min="5" max="5" width="11.42578125" style="211" hidden="1" customWidth="1"/>
    <col min="6" max="6" width="8.28515625" style="211" hidden="1" customWidth="1"/>
    <col min="7" max="7" width="1.7109375" style="213" hidden="1" customWidth="1"/>
    <col min="8" max="8" width="13.28515625" style="211" hidden="1" customWidth="1"/>
    <col min="9" max="9" width="11.42578125" style="211" hidden="1" customWidth="1"/>
    <col min="10" max="10" width="8.28515625" style="211" hidden="1" customWidth="1"/>
    <col min="11" max="11" width="1.7109375" style="213" hidden="1" customWidth="1"/>
    <col min="12" max="12" width="13.28515625" style="211" hidden="1" customWidth="1"/>
    <col min="13" max="13" width="11.42578125" style="211" hidden="1" customWidth="1"/>
    <col min="14" max="14" width="8.28515625" style="211" hidden="1" customWidth="1"/>
    <col min="15" max="15" width="1.7109375" style="213" hidden="1" customWidth="1"/>
    <col min="16" max="16" width="13.28515625" style="211" hidden="1" customWidth="1"/>
    <col min="17" max="17" width="11.42578125" style="211" hidden="1" customWidth="1"/>
    <col min="18" max="18" width="8.28515625" style="211" hidden="1" customWidth="1"/>
    <col min="19" max="19" width="1.7109375" style="213" hidden="1" customWidth="1"/>
    <col min="20" max="20" width="13.28515625" style="161" hidden="1" customWidth="1"/>
    <col min="21" max="21" width="11.42578125" style="161" hidden="1" customWidth="1"/>
    <col min="22" max="22" width="8.28515625" style="161" hidden="1" customWidth="1"/>
    <col min="23" max="23" width="1.7109375" style="103" hidden="1" customWidth="1"/>
    <col min="24" max="26" width="11.5703125" style="161" hidden="1" customWidth="1"/>
    <col min="27" max="27" width="1.7109375" style="103" hidden="1" customWidth="1"/>
    <col min="28" max="29" width="11.5703125" style="161" customWidth="1"/>
    <col min="30" max="30" width="9.28515625" style="161" bestFit="1" customWidth="1"/>
    <col min="31" max="31" width="1.7109375" style="213" customWidth="1"/>
    <col min="32" max="32" width="11.5703125" style="211" hidden="1" customWidth="1"/>
    <col min="33" max="34" width="11.5703125" style="211" customWidth="1"/>
    <col min="35" max="35" width="8.28515625" style="211" bestFit="1" customWidth="1"/>
    <col min="36" max="36" width="1.85546875" style="161" customWidth="1"/>
    <col min="37" max="37" width="11.5703125" style="394" customWidth="1"/>
    <col min="38" max="38" width="11.5703125" style="394" bestFit="1" customWidth="1"/>
    <col min="39" max="39" width="8.28515625" style="394" bestFit="1" customWidth="1"/>
    <col min="40" max="40" width="1.7109375" style="397" customWidth="1"/>
    <col min="41" max="41" width="13.5703125" style="104" customWidth="1"/>
    <col min="42" max="42" width="11.5703125" style="104" customWidth="1"/>
    <col min="43" max="43" width="11.85546875" style="161" customWidth="1"/>
    <col min="44" max="44" width="32.8554687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1787</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03"/>
      <c r="AP5" s="103"/>
      <c r="AR5" s="111"/>
    </row>
    <row r="6" spans="1:44" x14ac:dyDescent="0.25">
      <c r="A6" s="161" t="s">
        <v>489</v>
      </c>
      <c r="B6" s="119" t="str">
        <f t="shared" ref="B6:B19" si="0">MID(A6,14,4)</f>
        <v>5116</v>
      </c>
      <c r="C6" s="161" t="s">
        <v>1686</v>
      </c>
      <c r="D6" s="245">
        <v>77631.839999999997</v>
      </c>
      <c r="E6" s="245">
        <v>77631.839999999997</v>
      </c>
      <c r="F6" s="216"/>
      <c r="H6" s="245">
        <v>82413</v>
      </c>
      <c r="I6" s="245">
        <v>82413</v>
      </c>
      <c r="J6" s="216"/>
      <c r="L6" s="245">
        <v>87800.4</v>
      </c>
      <c r="M6" s="245">
        <v>87800.45</v>
      </c>
      <c r="N6" s="216"/>
      <c r="P6" s="245">
        <v>93124.800000000003</v>
      </c>
      <c r="Q6" s="245">
        <v>93124.73</v>
      </c>
      <c r="R6" s="216"/>
      <c r="T6" s="162">
        <v>94523.76</v>
      </c>
      <c r="U6" s="162">
        <v>94523.71</v>
      </c>
      <c r="V6" s="80"/>
      <c r="X6" s="162">
        <v>96122.559999999998</v>
      </c>
      <c r="Y6" s="162">
        <v>96122.58</v>
      </c>
      <c r="Z6" s="396">
        <f>(X6-T6)/T6</f>
        <v>1.6914265788834499E-2</v>
      </c>
      <c r="AB6" s="162">
        <v>96716.160000000003</v>
      </c>
      <c r="AC6" s="162">
        <v>109095.46</v>
      </c>
      <c r="AD6" s="396">
        <f>(AB6-X6)/X6</f>
        <v>6.1754493430054907E-3</v>
      </c>
      <c r="AF6" s="245">
        <v>130000</v>
      </c>
      <c r="AG6" s="372">
        <v>120000</v>
      </c>
      <c r="AH6" s="245">
        <v>120000</v>
      </c>
      <c r="AI6" s="396">
        <f>(AG6-AB6)/AB6</f>
        <v>0.24074404939153907</v>
      </c>
      <c r="AJ6" s="80"/>
      <c r="AK6" s="398">
        <v>121833</v>
      </c>
      <c r="AL6" s="398">
        <v>58046.01</v>
      </c>
      <c r="AM6" s="396">
        <f>(AK6-AG6)/AG6</f>
        <v>1.5275E-2</v>
      </c>
      <c r="AO6" s="163">
        <v>124262.09</v>
      </c>
      <c r="AP6" s="104">
        <f t="shared" ref="AP6:AP20" si="1">AO6-AK6</f>
        <v>2429.0899999999965</v>
      </c>
      <c r="AQ6" s="396">
        <f>(AO6-AK6)/AK6</f>
        <v>1.9937865767074573E-2</v>
      </c>
      <c r="AR6" s="400" t="s">
        <v>1452</v>
      </c>
    </row>
    <row r="7" spans="1:44" x14ac:dyDescent="0.25">
      <c r="A7" s="161" t="s">
        <v>490</v>
      </c>
      <c r="B7" s="119" t="str">
        <f t="shared" si="0"/>
        <v>5117</v>
      </c>
      <c r="C7" s="161" t="s">
        <v>1695</v>
      </c>
      <c r="D7" s="245">
        <v>73770</v>
      </c>
      <c r="E7" s="245">
        <v>73486.399999999994</v>
      </c>
      <c r="F7" s="216"/>
      <c r="H7" s="245">
        <v>75690</v>
      </c>
      <c r="I7" s="245">
        <v>75400</v>
      </c>
      <c r="J7" s="216"/>
      <c r="L7" s="245">
        <v>77965.919999999998</v>
      </c>
      <c r="M7" s="245">
        <v>77667.199999999997</v>
      </c>
      <c r="N7" s="216"/>
      <c r="P7" s="245">
        <v>79845.119999999995</v>
      </c>
      <c r="Q7" s="245">
        <v>80189.279999999999</v>
      </c>
      <c r="R7" s="216"/>
      <c r="T7" s="245">
        <v>81035.28</v>
      </c>
      <c r="U7" s="245">
        <v>80996.47</v>
      </c>
      <c r="V7" s="216"/>
      <c r="W7" s="213"/>
      <c r="X7" s="245">
        <v>82414.720000000001</v>
      </c>
      <c r="Y7" s="245">
        <v>82414.720000000001</v>
      </c>
      <c r="Z7" s="396">
        <f t="shared" ref="Z7:Z20" si="2">(X7-T7)/T7</f>
        <v>1.7022709121261782E-2</v>
      </c>
      <c r="AA7" s="213"/>
      <c r="AB7" s="245">
        <v>82914.48</v>
      </c>
      <c r="AC7" s="245">
        <v>78168.639999999999</v>
      </c>
      <c r="AD7" s="396">
        <f t="shared" ref="AD7:AD20" si="3">(AB7-X7)/X7</f>
        <v>6.0639652722231504E-3</v>
      </c>
      <c r="AF7" s="245">
        <v>83749.679999999993</v>
      </c>
      <c r="AG7" s="372">
        <v>88030.080000000002</v>
      </c>
      <c r="AH7" s="245">
        <v>88030.080000000002</v>
      </c>
      <c r="AI7" s="396">
        <f t="shared" ref="AI7:AI20" si="4">(AG7-AB7)/AB7</f>
        <v>6.169730546461856E-2</v>
      </c>
      <c r="AJ7" s="80"/>
      <c r="AK7" s="398">
        <v>92832.48</v>
      </c>
      <c r="AL7" s="398">
        <v>44460</v>
      </c>
      <c r="AM7" s="396">
        <f t="shared" ref="AM7:AM20" si="5">(AK7-AG7)/AG7</f>
        <v>5.4554079696394621E-2</v>
      </c>
      <c r="AO7" s="163">
        <f>'FY20 Payroll Schedule'!J41</f>
        <v>98198.640000000014</v>
      </c>
      <c r="AP7" s="399">
        <f t="shared" si="1"/>
        <v>5366.160000000018</v>
      </c>
      <c r="AQ7" s="396">
        <f t="shared" ref="AQ7:AQ20" si="6">(AO7-AK7)/AK7</f>
        <v>5.7804768331084319E-2</v>
      </c>
      <c r="AR7" s="400" t="s">
        <v>1371</v>
      </c>
    </row>
    <row r="8" spans="1:44" x14ac:dyDescent="0.25">
      <c r="A8" s="161" t="s">
        <v>491</v>
      </c>
      <c r="B8" s="119" t="str">
        <f t="shared" si="0"/>
        <v>5119</v>
      </c>
      <c r="C8" s="394" t="s">
        <v>1696</v>
      </c>
      <c r="D8" s="245">
        <v>58986</v>
      </c>
      <c r="E8" s="245">
        <v>58731.75</v>
      </c>
      <c r="F8" s="216"/>
      <c r="H8" s="245">
        <v>62661</v>
      </c>
      <c r="I8" s="245">
        <v>63261.08</v>
      </c>
      <c r="J8" s="216"/>
      <c r="L8" s="245">
        <v>66753.36</v>
      </c>
      <c r="M8" s="245">
        <v>66497.600000000006</v>
      </c>
      <c r="N8" s="216"/>
      <c r="P8" s="245">
        <v>70699.679999999993</v>
      </c>
      <c r="Q8" s="245">
        <v>70428.800000000003</v>
      </c>
      <c r="R8" s="216"/>
      <c r="T8" s="245">
        <v>74353.679999999993</v>
      </c>
      <c r="U8" s="245">
        <v>74353.679999999993</v>
      </c>
      <c r="V8" s="216"/>
      <c r="W8" s="213"/>
      <c r="X8" s="245">
        <v>65835.360000000001</v>
      </c>
      <c r="Y8" s="245">
        <v>75566.649999999994</v>
      </c>
      <c r="Z8" s="396">
        <f t="shared" si="2"/>
        <v>-0.11456487426042657</v>
      </c>
      <c r="AA8" s="213"/>
      <c r="AB8" s="245">
        <v>66252.240000000005</v>
      </c>
      <c r="AC8" s="245">
        <v>64852.75</v>
      </c>
      <c r="AD8" s="396">
        <f t="shared" si="3"/>
        <v>6.3321594960520401E-3</v>
      </c>
      <c r="AF8" s="245">
        <v>76817.52</v>
      </c>
      <c r="AG8" s="372">
        <v>69029.279999999999</v>
      </c>
      <c r="AH8" s="245">
        <v>68124.320000000007</v>
      </c>
      <c r="AI8" s="396">
        <f t="shared" si="4"/>
        <v>4.1916167664670559E-2</v>
      </c>
      <c r="AJ8" s="80"/>
      <c r="AK8" s="398">
        <v>72808.56</v>
      </c>
      <c r="AL8" s="398">
        <v>34869.99</v>
      </c>
      <c r="AM8" s="396">
        <f t="shared" si="5"/>
        <v>5.4748941318814262E-2</v>
      </c>
      <c r="AO8" s="163">
        <f>'FY20 Payroll Schedule'!J43</f>
        <v>77005.440000000002</v>
      </c>
      <c r="AP8" s="399">
        <f t="shared" si="1"/>
        <v>4196.8800000000047</v>
      </c>
      <c r="AQ8" s="396">
        <f t="shared" si="6"/>
        <v>5.7642672784628687E-2</v>
      </c>
      <c r="AR8" s="288" t="s">
        <v>1162</v>
      </c>
    </row>
    <row r="9" spans="1:44" x14ac:dyDescent="0.25">
      <c r="A9" s="161" t="s">
        <v>492</v>
      </c>
      <c r="B9" s="119" t="str">
        <f t="shared" si="0"/>
        <v>5121</v>
      </c>
      <c r="C9" s="394" t="s">
        <v>1697</v>
      </c>
      <c r="D9" s="245">
        <v>65417.04</v>
      </c>
      <c r="E9" s="245">
        <v>65150.74</v>
      </c>
      <c r="F9" s="216"/>
      <c r="H9" s="245">
        <v>69447</v>
      </c>
      <c r="I9" s="245">
        <v>69712.960000000006</v>
      </c>
      <c r="J9" s="216"/>
      <c r="L9" s="245">
        <v>71534.880000000005</v>
      </c>
      <c r="M9" s="245">
        <v>17035.849999999999</v>
      </c>
      <c r="N9" s="216"/>
      <c r="P9" s="245">
        <v>59570.64</v>
      </c>
      <c r="Q9" s="245">
        <v>59399.47</v>
      </c>
      <c r="R9" s="216"/>
      <c r="T9" s="245">
        <v>62577.36</v>
      </c>
      <c r="U9" s="245">
        <v>55570.62</v>
      </c>
      <c r="V9" s="216"/>
      <c r="W9" s="213"/>
      <c r="X9" s="245">
        <v>75602.720000000001</v>
      </c>
      <c r="Y9" s="245">
        <v>58968.01</v>
      </c>
      <c r="Z9" s="396">
        <f t="shared" si="2"/>
        <v>0.20814812257979565</v>
      </c>
      <c r="AA9" s="213"/>
      <c r="AB9" s="245">
        <v>76065.84</v>
      </c>
      <c r="AC9" s="245">
        <v>61926.7</v>
      </c>
      <c r="AD9" s="396">
        <f t="shared" si="3"/>
        <v>6.1257055301713395E-3</v>
      </c>
      <c r="AF9" s="245">
        <v>64665.36</v>
      </c>
      <c r="AG9" s="372">
        <v>69029.279999999999</v>
      </c>
      <c r="AH9" s="245">
        <v>69095.399999999994</v>
      </c>
      <c r="AI9" s="396">
        <f t="shared" si="4"/>
        <v>-9.2506176228383169E-2</v>
      </c>
      <c r="AJ9" s="80"/>
      <c r="AK9" s="398">
        <v>72808.56</v>
      </c>
      <c r="AL9" s="398">
        <v>34870</v>
      </c>
      <c r="AM9" s="396">
        <f t="shared" si="5"/>
        <v>5.4748941318814262E-2</v>
      </c>
      <c r="AO9" s="163">
        <f>'FY20 Payroll Schedule'!J46</f>
        <v>77005.440000000002</v>
      </c>
      <c r="AP9" s="399">
        <f t="shared" si="1"/>
        <v>4196.8800000000047</v>
      </c>
      <c r="AQ9" s="396">
        <f t="shared" si="6"/>
        <v>5.7642672784628687E-2</v>
      </c>
      <c r="AR9" s="288" t="s">
        <v>1162</v>
      </c>
    </row>
    <row r="10" spans="1:44" x14ac:dyDescent="0.25">
      <c r="A10" s="161" t="s">
        <v>494</v>
      </c>
      <c r="B10" s="119" t="str">
        <f t="shared" si="0"/>
        <v>5130</v>
      </c>
      <c r="C10" s="394" t="s">
        <v>1584</v>
      </c>
      <c r="D10" s="245">
        <v>25000</v>
      </c>
      <c r="E10" s="245">
        <v>22956.36</v>
      </c>
      <c r="F10" s="216"/>
      <c r="H10" s="245">
        <v>28000</v>
      </c>
      <c r="I10" s="245">
        <v>20859.93</v>
      </c>
      <c r="J10" s="216"/>
      <c r="L10" s="245">
        <v>22000</v>
      </c>
      <c r="M10" s="245">
        <v>22214.45</v>
      </c>
      <c r="N10" s="216"/>
      <c r="P10" s="245">
        <v>25000</v>
      </c>
      <c r="Q10" s="245">
        <v>28005.71</v>
      </c>
      <c r="R10" s="216"/>
      <c r="T10" s="245">
        <v>26000</v>
      </c>
      <c r="U10" s="245">
        <v>34800.39</v>
      </c>
      <c r="V10" s="216"/>
      <c r="W10" s="213"/>
      <c r="X10" s="245">
        <v>28000</v>
      </c>
      <c r="Y10" s="245">
        <v>23905.74</v>
      </c>
      <c r="Z10" s="396">
        <f t="shared" si="2"/>
        <v>7.6923076923076927E-2</v>
      </c>
      <c r="AA10" s="213"/>
      <c r="AB10" s="245">
        <v>30000</v>
      </c>
      <c r="AC10" s="245">
        <v>31740.45</v>
      </c>
      <c r="AD10" s="396">
        <f t="shared" si="3"/>
        <v>7.1428571428571425E-2</v>
      </c>
      <c r="AF10" s="245">
        <v>30000</v>
      </c>
      <c r="AG10" s="372">
        <v>35000</v>
      </c>
      <c r="AH10" s="245">
        <v>38203.15</v>
      </c>
      <c r="AI10" s="396">
        <f t="shared" si="4"/>
        <v>0.16666666666666666</v>
      </c>
      <c r="AJ10" s="80"/>
      <c r="AK10" s="398">
        <v>34242</v>
      </c>
      <c r="AL10" s="398">
        <v>16107.73</v>
      </c>
      <c r="AM10" s="396">
        <f t="shared" si="5"/>
        <v>-2.1657142857142857E-2</v>
      </c>
      <c r="AO10" s="163">
        <f>'FY20 Payroll Schedule'!J52</f>
        <v>36193.22</v>
      </c>
      <c r="AP10" s="399">
        <f t="shared" si="1"/>
        <v>1951.2200000000012</v>
      </c>
      <c r="AQ10" s="396">
        <f t="shared" si="6"/>
        <v>5.6983236960457949E-2</v>
      </c>
      <c r="AR10" s="246" t="s">
        <v>1373</v>
      </c>
    </row>
    <row r="11" spans="1:44" x14ac:dyDescent="0.25">
      <c r="A11" s="394" t="s">
        <v>495</v>
      </c>
      <c r="B11" s="395" t="str">
        <f t="shared" si="0"/>
        <v>5140</v>
      </c>
      <c r="C11" s="394" t="s">
        <v>1687</v>
      </c>
      <c r="D11" s="245">
        <v>17460</v>
      </c>
      <c r="E11" s="245">
        <v>18920</v>
      </c>
      <c r="F11" s="216"/>
      <c r="H11" s="245">
        <v>17460</v>
      </c>
      <c r="I11" s="245">
        <v>27220</v>
      </c>
      <c r="J11" s="216"/>
      <c r="L11" s="245">
        <v>28170</v>
      </c>
      <c r="M11" s="245">
        <v>34380</v>
      </c>
      <c r="N11" s="216"/>
      <c r="P11" s="245">
        <v>33000</v>
      </c>
      <c r="Q11" s="245">
        <v>36400</v>
      </c>
      <c r="R11" s="216"/>
      <c r="T11" s="245">
        <v>36500</v>
      </c>
      <c r="U11" s="245">
        <v>36500</v>
      </c>
      <c r="V11" s="216"/>
      <c r="W11" s="213"/>
      <c r="X11" s="245">
        <v>36500</v>
      </c>
      <c r="Y11" s="245">
        <v>35800</v>
      </c>
      <c r="Z11" s="396">
        <f t="shared" si="2"/>
        <v>0</v>
      </c>
      <c r="AA11" s="213"/>
      <c r="AB11" s="245">
        <v>36500</v>
      </c>
      <c r="AC11" s="245">
        <v>36400</v>
      </c>
      <c r="AD11" s="396">
        <f t="shared" si="3"/>
        <v>0</v>
      </c>
      <c r="AF11" s="245">
        <v>36500</v>
      </c>
      <c r="AG11" s="372">
        <v>36500</v>
      </c>
      <c r="AH11" s="245">
        <v>36600</v>
      </c>
      <c r="AI11" s="396">
        <f t="shared" si="4"/>
        <v>0</v>
      </c>
      <c r="AJ11" s="80"/>
      <c r="AK11" s="398">
        <v>36500</v>
      </c>
      <c r="AL11" s="398">
        <v>17400</v>
      </c>
      <c r="AM11" s="396">
        <f t="shared" si="5"/>
        <v>0</v>
      </c>
      <c r="AO11" s="163">
        <f>'FY20 Payroll Schedule'!J53</f>
        <v>36500</v>
      </c>
      <c r="AP11" s="399">
        <f t="shared" si="1"/>
        <v>0</v>
      </c>
      <c r="AQ11" s="396">
        <f t="shared" si="6"/>
        <v>0</v>
      </c>
      <c r="AR11" s="288" t="s">
        <v>1475</v>
      </c>
    </row>
    <row r="12" spans="1:44" x14ac:dyDescent="0.25">
      <c r="A12" s="161" t="s">
        <v>496</v>
      </c>
      <c r="B12" s="119" t="str">
        <f t="shared" si="0"/>
        <v>5141</v>
      </c>
      <c r="C12" s="161" t="s">
        <v>1688</v>
      </c>
      <c r="D12" s="245">
        <v>72556.800000000003</v>
      </c>
      <c r="E12" s="245">
        <v>60613.81</v>
      </c>
      <c r="F12" s="216"/>
      <c r="H12" s="245">
        <v>74483</v>
      </c>
      <c r="I12" s="245">
        <v>52928.21</v>
      </c>
      <c r="J12" s="216"/>
      <c r="L12" s="245">
        <v>41393</v>
      </c>
      <c r="M12" s="245">
        <v>40023.040000000001</v>
      </c>
      <c r="N12" s="216"/>
      <c r="P12" s="245">
        <v>50240</v>
      </c>
      <c r="Q12" s="245">
        <v>15001.63</v>
      </c>
      <c r="R12" s="216"/>
      <c r="T12" s="245">
        <v>50402.559999999998</v>
      </c>
      <c r="U12" s="245">
        <v>54869.03</v>
      </c>
      <c r="V12" s="216"/>
      <c r="W12" s="213"/>
      <c r="X12" s="245">
        <v>52051.199999999997</v>
      </c>
      <c r="Y12" s="245">
        <v>64115.83</v>
      </c>
      <c r="Z12" s="396">
        <f t="shared" si="2"/>
        <v>3.2709449678746463E-2</v>
      </c>
      <c r="AA12" s="213"/>
      <c r="AB12" s="408">
        <v>48800</v>
      </c>
      <c r="AC12" s="245">
        <v>49354.7</v>
      </c>
      <c r="AD12" s="396">
        <f t="shared" si="3"/>
        <v>-6.2461576294110359E-2</v>
      </c>
      <c r="AF12" s="245">
        <v>50867.199999999997</v>
      </c>
      <c r="AG12" s="408">
        <v>50867.199999999997</v>
      </c>
      <c r="AH12" s="245">
        <v>30583.58</v>
      </c>
      <c r="AI12" s="396">
        <f t="shared" si="4"/>
        <v>4.236065573770486E-2</v>
      </c>
      <c r="AJ12" s="80"/>
      <c r="AK12" s="408">
        <v>45360</v>
      </c>
      <c r="AL12" s="398">
        <v>21647.32</v>
      </c>
      <c r="AM12" s="396">
        <f t="shared" si="5"/>
        <v>-0.1082662304982385</v>
      </c>
      <c r="AO12" s="408">
        <f>'FY20 Payroll Schedule'!J54</f>
        <v>45360</v>
      </c>
      <c r="AP12" s="399">
        <f t="shared" si="1"/>
        <v>0</v>
      </c>
      <c r="AQ12" s="396">
        <f t="shared" si="6"/>
        <v>0</v>
      </c>
      <c r="AR12" s="288" t="s">
        <v>1374</v>
      </c>
    </row>
    <row r="13" spans="1:44" x14ac:dyDescent="0.25">
      <c r="A13" s="161" t="s">
        <v>497</v>
      </c>
      <c r="B13" s="119" t="str">
        <f t="shared" si="0"/>
        <v>5142</v>
      </c>
      <c r="C13" s="161" t="s">
        <v>1455</v>
      </c>
      <c r="D13" s="245">
        <v>738</v>
      </c>
      <c r="E13" s="245">
        <v>2251.7199999999998</v>
      </c>
      <c r="F13" s="216"/>
      <c r="H13" s="245">
        <v>2338</v>
      </c>
      <c r="I13" s="245">
        <v>2337.8000000000002</v>
      </c>
      <c r="J13" s="216"/>
      <c r="L13" s="245">
        <v>2437.3200000000002</v>
      </c>
      <c r="M13" s="245">
        <v>2437.3200000000002</v>
      </c>
      <c r="N13" s="216"/>
      <c r="P13" s="245">
        <v>2528.15</v>
      </c>
      <c r="Q13" s="245">
        <v>2528.15</v>
      </c>
      <c r="R13" s="216"/>
      <c r="T13" s="245">
        <v>2565.94</v>
      </c>
      <c r="U13" s="245">
        <v>2565.9499999999998</v>
      </c>
      <c r="V13" s="216"/>
      <c r="W13" s="213"/>
      <c r="X13" s="245">
        <v>2609.52</v>
      </c>
      <c r="Y13" s="245">
        <v>4385.45</v>
      </c>
      <c r="Z13" s="396">
        <f t="shared" si="2"/>
        <v>1.6984029244643258E-2</v>
      </c>
      <c r="AA13" s="213"/>
      <c r="AB13" s="163">
        <v>4421.75</v>
      </c>
      <c r="AC13" s="245">
        <v>2487.4299999999998</v>
      </c>
      <c r="AD13" s="396">
        <f t="shared" si="3"/>
        <v>0.69446871455286796</v>
      </c>
      <c r="AF13" s="245">
        <v>2512.4899999999998</v>
      </c>
      <c r="AG13" s="163">
        <v>3600</v>
      </c>
      <c r="AH13" s="245">
        <v>3600</v>
      </c>
      <c r="AI13" s="396">
        <f t="shared" si="4"/>
        <v>-0.1858427093345395</v>
      </c>
      <c r="AJ13" s="80"/>
      <c r="AK13" s="163">
        <v>3636</v>
      </c>
      <c r="AL13" s="398">
        <v>0</v>
      </c>
      <c r="AM13" s="396">
        <f t="shared" si="5"/>
        <v>0.01</v>
      </c>
      <c r="AO13" s="163">
        <f>'FY20 Payroll Schedule'!K39+'FY20 Payroll Schedule'!K41</f>
        <v>4709.8490999999995</v>
      </c>
      <c r="AP13" s="399">
        <f t="shared" si="1"/>
        <v>1073.8490999999995</v>
      </c>
      <c r="AQ13" s="396">
        <f t="shared" si="6"/>
        <v>0.2953380363036302</v>
      </c>
      <c r="AR13" s="400" t="s">
        <v>1768</v>
      </c>
    </row>
    <row r="14" spans="1:44" x14ac:dyDescent="0.25">
      <c r="A14" s="161" t="s">
        <v>498</v>
      </c>
      <c r="B14" s="119" t="str">
        <f t="shared" si="0"/>
        <v>5143</v>
      </c>
      <c r="C14" s="161" t="s">
        <v>1689</v>
      </c>
      <c r="D14" s="245">
        <v>14151.2</v>
      </c>
      <c r="E14" s="245">
        <v>17587.28</v>
      </c>
      <c r="F14" s="216"/>
      <c r="H14" s="245">
        <v>15558</v>
      </c>
      <c r="I14" s="245">
        <v>24983.82</v>
      </c>
      <c r="J14" s="216"/>
      <c r="L14" s="245">
        <v>12820</v>
      </c>
      <c r="M14" s="245">
        <v>92205.28</v>
      </c>
      <c r="N14" s="216"/>
      <c r="P14" s="245">
        <v>14222</v>
      </c>
      <c r="Q14" s="245">
        <v>48353.27</v>
      </c>
      <c r="R14" s="216"/>
      <c r="T14" s="245">
        <v>14435.33</v>
      </c>
      <c r="U14" s="245">
        <v>78383.05</v>
      </c>
      <c r="V14" s="216"/>
      <c r="W14" s="213"/>
      <c r="X14" s="245">
        <v>16872</v>
      </c>
      <c r="Y14" s="245">
        <v>74768.479999999996</v>
      </c>
      <c r="Z14" s="396">
        <f t="shared" si="2"/>
        <v>0.1687990506625065</v>
      </c>
      <c r="AA14" s="213"/>
      <c r="AB14" s="408">
        <v>17996.8</v>
      </c>
      <c r="AC14" s="245">
        <v>30013.8</v>
      </c>
      <c r="AD14" s="396">
        <f t="shared" si="3"/>
        <v>6.6666666666666624E-2</v>
      </c>
      <c r="AF14" s="245">
        <v>17996.8</v>
      </c>
      <c r="AG14" s="408">
        <v>17996.8</v>
      </c>
      <c r="AH14" s="245">
        <v>19358.23</v>
      </c>
      <c r="AI14" s="396">
        <f t="shared" si="4"/>
        <v>0</v>
      </c>
      <c r="AJ14" s="80"/>
      <c r="AK14" s="408">
        <v>17280</v>
      </c>
      <c r="AL14" s="398">
        <v>9999.49</v>
      </c>
      <c r="AM14" s="396">
        <f t="shared" si="5"/>
        <v>-3.9829302987197689E-2</v>
      </c>
      <c r="AO14" s="408">
        <f>'FY20 Payroll Schedule'!J55</f>
        <v>17280</v>
      </c>
      <c r="AP14" s="399">
        <f t="shared" si="1"/>
        <v>0</v>
      </c>
      <c r="AQ14" s="396">
        <f t="shared" si="6"/>
        <v>0</v>
      </c>
      <c r="AR14" s="288" t="s">
        <v>1375</v>
      </c>
    </row>
    <row r="15" spans="1:44" x14ac:dyDescent="0.25">
      <c r="A15" s="161" t="s">
        <v>499</v>
      </c>
      <c r="B15" s="119" t="str">
        <f t="shared" si="0"/>
        <v>5150</v>
      </c>
      <c r="C15" s="161" t="s">
        <v>1690</v>
      </c>
      <c r="D15" s="245">
        <v>32838.400000000001</v>
      </c>
      <c r="E15" s="245">
        <v>16893.8</v>
      </c>
      <c r="F15" s="216"/>
      <c r="H15" s="245">
        <v>33001</v>
      </c>
      <c r="I15" s="245">
        <v>16517.580000000002</v>
      </c>
      <c r="J15" s="216"/>
      <c r="L15" s="245">
        <v>22820</v>
      </c>
      <c r="M15" s="245">
        <v>16058.15</v>
      </c>
      <c r="N15" s="216"/>
      <c r="P15" s="245">
        <v>25099.200000000001</v>
      </c>
      <c r="Q15" s="245">
        <v>16178.67</v>
      </c>
      <c r="R15" s="216"/>
      <c r="T15" s="245">
        <v>24236.799999999999</v>
      </c>
      <c r="U15" s="245">
        <v>2619.88</v>
      </c>
      <c r="V15" s="216"/>
      <c r="W15" s="213"/>
      <c r="X15" s="245">
        <v>21175.200000000001</v>
      </c>
      <c r="Y15" s="245">
        <v>9460.11</v>
      </c>
      <c r="Z15" s="396">
        <f t="shared" si="2"/>
        <v>-0.12632030631106411</v>
      </c>
      <c r="AA15" s="213"/>
      <c r="AB15" s="408">
        <v>23720.1</v>
      </c>
      <c r="AC15" s="245">
        <v>17434.8</v>
      </c>
      <c r="AD15" s="396">
        <f t="shared" si="3"/>
        <v>0.12018304431599218</v>
      </c>
      <c r="AF15" s="245">
        <v>20879.400000000001</v>
      </c>
      <c r="AG15" s="408">
        <v>20879.400000000001</v>
      </c>
      <c r="AH15" s="245">
        <v>18887.3</v>
      </c>
      <c r="AI15" s="396">
        <f t="shared" si="4"/>
        <v>-0.11975919157170489</v>
      </c>
      <c r="AJ15" s="80"/>
      <c r="AK15" s="408">
        <v>35280</v>
      </c>
      <c r="AL15" s="398">
        <v>19397</v>
      </c>
      <c r="AM15" s="396">
        <f t="shared" si="5"/>
        <v>0.68970372711859529</v>
      </c>
      <c r="AO15" s="408">
        <f>'FY20 Payroll Schedule'!J56</f>
        <v>35280</v>
      </c>
      <c r="AP15" s="399">
        <f t="shared" si="1"/>
        <v>0</v>
      </c>
      <c r="AQ15" s="396">
        <f t="shared" si="6"/>
        <v>0</v>
      </c>
      <c r="AR15" s="288" t="s">
        <v>1376</v>
      </c>
    </row>
    <row r="16" spans="1:44" x14ac:dyDescent="0.25">
      <c r="A16" s="161" t="s">
        <v>500</v>
      </c>
      <c r="B16" s="119" t="str">
        <f t="shared" si="0"/>
        <v>5164</v>
      </c>
      <c r="C16" s="161" t="s">
        <v>1691</v>
      </c>
      <c r="D16" s="245">
        <v>3000</v>
      </c>
      <c r="E16" s="245">
        <v>2575.0300000000002</v>
      </c>
      <c r="F16" s="216"/>
      <c r="H16" s="245">
        <v>3000</v>
      </c>
      <c r="I16" s="245">
        <v>4136.62</v>
      </c>
      <c r="J16" s="216"/>
      <c r="L16" s="245">
        <v>4800</v>
      </c>
      <c r="M16" s="245">
        <v>1156.95</v>
      </c>
      <c r="N16" s="216"/>
      <c r="P16" s="245">
        <v>5200</v>
      </c>
      <c r="Q16" s="245">
        <v>2138.2199999999998</v>
      </c>
      <c r="R16" s="216"/>
      <c r="T16" s="245">
        <v>4800</v>
      </c>
      <c r="U16" s="245">
        <v>2639.65</v>
      </c>
      <c r="V16" s="216"/>
      <c r="W16" s="213"/>
      <c r="X16" s="245">
        <v>4800</v>
      </c>
      <c r="Y16" s="245">
        <v>1220.5999999999999</v>
      </c>
      <c r="Z16" s="396">
        <f t="shared" si="2"/>
        <v>0</v>
      </c>
      <c r="AA16" s="213"/>
      <c r="AB16" s="408">
        <v>4800</v>
      </c>
      <c r="AC16" s="245">
        <v>992.23</v>
      </c>
      <c r="AD16" s="396">
        <f t="shared" si="3"/>
        <v>0</v>
      </c>
      <c r="AF16" s="245">
        <v>4800</v>
      </c>
      <c r="AG16" s="408">
        <v>4800</v>
      </c>
      <c r="AH16" s="245">
        <v>4406.18</v>
      </c>
      <c r="AI16" s="396">
        <f t="shared" si="4"/>
        <v>0</v>
      </c>
      <c r="AJ16" s="80"/>
      <c r="AK16" s="408">
        <v>4800</v>
      </c>
      <c r="AL16" s="398">
        <v>4274.53</v>
      </c>
      <c r="AM16" s="396">
        <f t="shared" si="5"/>
        <v>0</v>
      </c>
      <c r="AO16" s="408">
        <f>'FY20 Payroll Schedule'!J57</f>
        <v>8000</v>
      </c>
      <c r="AP16" s="399">
        <f>AO16-AK16</f>
        <v>3200</v>
      </c>
      <c r="AQ16" s="396">
        <f t="shared" si="6"/>
        <v>0.66666666666666663</v>
      </c>
      <c r="AR16" s="524" t="s">
        <v>2151</v>
      </c>
    </row>
    <row r="17" spans="1:44" s="566" customFormat="1" x14ac:dyDescent="0.25">
      <c r="B17" s="568"/>
      <c r="C17" s="566" t="s">
        <v>2166</v>
      </c>
      <c r="D17" s="567"/>
      <c r="E17" s="567"/>
      <c r="F17" s="396"/>
      <c r="G17" s="397"/>
      <c r="H17" s="567"/>
      <c r="I17" s="567"/>
      <c r="J17" s="396"/>
      <c r="K17" s="397"/>
      <c r="L17" s="567"/>
      <c r="M17" s="567"/>
      <c r="N17" s="396"/>
      <c r="O17" s="397"/>
      <c r="P17" s="567"/>
      <c r="Q17" s="567"/>
      <c r="R17" s="396"/>
      <c r="S17" s="397"/>
      <c r="T17" s="567"/>
      <c r="U17" s="567"/>
      <c r="V17" s="396"/>
      <c r="W17" s="397"/>
      <c r="X17" s="567"/>
      <c r="Y17" s="567"/>
      <c r="Z17" s="396"/>
      <c r="AA17" s="397"/>
      <c r="AB17" s="408"/>
      <c r="AC17" s="567"/>
      <c r="AD17" s="396"/>
      <c r="AE17" s="397"/>
      <c r="AF17" s="567"/>
      <c r="AG17" s="408"/>
      <c r="AH17" s="567"/>
      <c r="AI17" s="396"/>
      <c r="AJ17" s="396"/>
      <c r="AK17" s="408"/>
      <c r="AL17" s="567"/>
      <c r="AM17" s="396"/>
      <c r="AN17" s="397"/>
      <c r="AO17" s="408">
        <v>45000</v>
      </c>
      <c r="AP17" s="399">
        <f>AO17-AK17</f>
        <v>45000</v>
      </c>
      <c r="AQ17" s="396"/>
      <c r="AR17" s="524" t="s">
        <v>2167</v>
      </c>
    </row>
    <row r="18" spans="1:44" x14ac:dyDescent="0.25">
      <c r="A18" s="161" t="s">
        <v>501</v>
      </c>
      <c r="B18" s="119" t="str">
        <f t="shared" si="0"/>
        <v>5186</v>
      </c>
      <c r="C18" s="161" t="s">
        <v>1692</v>
      </c>
      <c r="D18" s="245">
        <v>10000</v>
      </c>
      <c r="E18" s="245">
        <v>13372.84</v>
      </c>
      <c r="F18" s="216"/>
      <c r="H18" s="245">
        <v>11500</v>
      </c>
      <c r="I18" s="245">
        <v>16478.46</v>
      </c>
      <c r="J18" s="216"/>
      <c r="L18" s="245">
        <v>19331.32</v>
      </c>
      <c r="M18" s="245">
        <v>16318.98</v>
      </c>
      <c r="N18" s="216"/>
      <c r="P18" s="245">
        <v>20738.36</v>
      </c>
      <c r="Q18" s="245">
        <v>17367.98</v>
      </c>
      <c r="R18" s="216"/>
      <c r="T18" s="245">
        <v>24236</v>
      </c>
      <c r="U18" s="245">
        <v>14628.09</v>
      </c>
      <c r="V18" s="216"/>
      <c r="W18" s="213"/>
      <c r="X18" s="245">
        <v>17905.38</v>
      </c>
      <c r="Y18" s="245">
        <v>13800.81</v>
      </c>
      <c r="Z18" s="396">
        <f t="shared" si="2"/>
        <v>-0.26120729493315725</v>
      </c>
      <c r="AA18" s="213"/>
      <c r="AB18" s="245">
        <v>19785.580000000002</v>
      </c>
      <c r="AC18" s="245">
        <v>15790.2</v>
      </c>
      <c r="AD18" s="396">
        <f t="shared" si="3"/>
        <v>0.10500754521825287</v>
      </c>
      <c r="AF18" s="245">
        <v>21052.14</v>
      </c>
      <c r="AG18" s="372">
        <v>21052.14</v>
      </c>
      <c r="AH18" s="245">
        <v>12453.22</v>
      </c>
      <c r="AI18" s="396">
        <f t="shared" si="4"/>
        <v>6.40142972811511E-2</v>
      </c>
      <c r="AJ18" s="80"/>
      <c r="AK18" s="398">
        <v>18011</v>
      </c>
      <c r="AL18" s="398">
        <v>5382.84</v>
      </c>
      <c r="AM18" s="396">
        <f t="shared" si="5"/>
        <v>-0.14445752308316398</v>
      </c>
      <c r="AO18" s="163">
        <f>'FY20 Payroll Schedule'!J58</f>
        <v>18011</v>
      </c>
      <c r="AP18" s="399">
        <f t="shared" si="1"/>
        <v>0</v>
      </c>
      <c r="AQ18" s="396">
        <f t="shared" si="6"/>
        <v>0</v>
      </c>
      <c r="AR18" s="288" t="s">
        <v>1377</v>
      </c>
    </row>
    <row r="19" spans="1:44" x14ac:dyDescent="0.25">
      <c r="A19" s="161" t="s">
        <v>502</v>
      </c>
      <c r="B19" s="119" t="str">
        <f t="shared" si="0"/>
        <v>5190</v>
      </c>
      <c r="C19" s="161" t="s">
        <v>1693</v>
      </c>
      <c r="D19" s="245">
        <v>0</v>
      </c>
      <c r="E19" s="245">
        <v>0</v>
      </c>
      <c r="F19" s="216"/>
      <c r="H19" s="245">
        <v>5000</v>
      </c>
      <c r="I19" s="245">
        <v>5246.58</v>
      </c>
      <c r="J19" s="216"/>
      <c r="L19" s="245">
        <v>5000</v>
      </c>
      <c r="M19" s="245">
        <v>0</v>
      </c>
      <c r="N19" s="216"/>
      <c r="P19" s="245">
        <v>5000</v>
      </c>
      <c r="Q19" s="245">
        <v>0</v>
      </c>
      <c r="R19" s="216"/>
      <c r="T19" s="245">
        <v>7000</v>
      </c>
      <c r="U19" s="245">
        <v>0</v>
      </c>
      <c r="V19" s="216"/>
      <c r="W19" s="213"/>
      <c r="X19" s="245">
        <v>10000</v>
      </c>
      <c r="Y19" s="245">
        <v>0</v>
      </c>
      <c r="Z19" s="396">
        <f t="shared" si="2"/>
        <v>0.42857142857142855</v>
      </c>
      <c r="AA19" s="213"/>
      <c r="AB19" s="245">
        <v>14000</v>
      </c>
      <c r="AC19" s="245">
        <v>10699.61</v>
      </c>
      <c r="AD19" s="396">
        <f t="shared" si="3"/>
        <v>0.4</v>
      </c>
      <c r="AF19" s="245">
        <v>10000</v>
      </c>
      <c r="AG19" s="372">
        <v>12021.8</v>
      </c>
      <c r="AH19" s="245">
        <v>9270.18</v>
      </c>
      <c r="AI19" s="396">
        <f t="shared" si="4"/>
        <v>-0.14130000000000006</v>
      </c>
      <c r="AJ19" s="80"/>
      <c r="AK19" s="398">
        <v>10000</v>
      </c>
      <c r="AL19" s="398">
        <v>601.51</v>
      </c>
      <c r="AM19" s="396">
        <f t="shared" si="5"/>
        <v>-0.1681778103112678</v>
      </c>
      <c r="AO19" s="163">
        <f>'FY20 Payroll Schedule'!J59</f>
        <v>10000</v>
      </c>
      <c r="AP19" s="399">
        <f t="shared" si="1"/>
        <v>0</v>
      </c>
      <c r="AQ19" s="396">
        <f t="shared" si="6"/>
        <v>0</v>
      </c>
      <c r="AR19" s="288" t="s">
        <v>1104</v>
      </c>
    </row>
    <row r="20" spans="1:44" x14ac:dyDescent="0.25">
      <c r="A20" s="395" t="s">
        <v>493</v>
      </c>
      <c r="B20" s="205">
        <v>5191</v>
      </c>
      <c r="C20" s="161" t="s">
        <v>1694</v>
      </c>
      <c r="D20" s="245">
        <v>0</v>
      </c>
      <c r="E20" s="245">
        <v>0</v>
      </c>
      <c r="F20" s="216"/>
      <c r="H20" s="245">
        <v>0</v>
      </c>
      <c r="I20" s="245">
        <v>0</v>
      </c>
      <c r="J20" s="216"/>
      <c r="L20" s="245">
        <v>56208.959999999999</v>
      </c>
      <c r="M20" s="245">
        <v>0</v>
      </c>
      <c r="N20" s="216"/>
      <c r="P20" s="245">
        <v>59570.64</v>
      </c>
      <c r="Q20" s="245">
        <v>62138.33</v>
      </c>
      <c r="R20" s="216"/>
      <c r="T20" s="245">
        <v>62577.36</v>
      </c>
      <c r="U20" s="245">
        <v>0</v>
      </c>
      <c r="V20" s="216"/>
      <c r="W20" s="213"/>
      <c r="X20" s="245">
        <v>61475.68</v>
      </c>
      <c r="Y20" s="245">
        <v>27013.200000000001</v>
      </c>
      <c r="Z20" s="396">
        <f t="shared" si="2"/>
        <v>-1.7605089124884787E-2</v>
      </c>
      <c r="AA20" s="213"/>
      <c r="AB20" s="245">
        <v>61867.44</v>
      </c>
      <c r="AC20" s="245">
        <v>60008.480000000003</v>
      </c>
      <c r="AD20" s="396">
        <f t="shared" si="3"/>
        <v>6.3726013278747311E-3</v>
      </c>
      <c r="AF20" s="245">
        <v>62472.959999999999</v>
      </c>
      <c r="AG20" s="372">
        <v>66690.720000000001</v>
      </c>
      <c r="AH20" s="245">
        <v>66690.720000000001</v>
      </c>
      <c r="AI20" s="396">
        <f t="shared" si="4"/>
        <v>7.7961525480931465E-2</v>
      </c>
      <c r="AJ20" s="80"/>
      <c r="AK20" s="398">
        <v>70344.72</v>
      </c>
      <c r="AL20" s="398">
        <v>33690</v>
      </c>
      <c r="AM20" s="396">
        <f t="shared" si="5"/>
        <v>5.4790231684408268E-2</v>
      </c>
      <c r="AO20" s="163">
        <f>'FY20 Payroll Schedule'!J49</f>
        <v>74416.319999999992</v>
      </c>
      <c r="AP20" s="399">
        <f t="shared" si="1"/>
        <v>4071.5999999999913</v>
      </c>
      <c r="AQ20" s="396">
        <f t="shared" si="6"/>
        <v>5.7880676758681977E-2</v>
      </c>
      <c r="AR20" s="246" t="s">
        <v>1372</v>
      </c>
    </row>
    <row r="21" spans="1:44" s="114" customFormat="1" x14ac:dyDescent="0.25">
      <c r="A21" s="224"/>
      <c r="B21" s="224"/>
      <c r="C21" s="224" t="s">
        <v>26</v>
      </c>
      <c r="D21" s="225">
        <f>SUM(D6:D20)</f>
        <v>451549.28</v>
      </c>
      <c r="E21" s="225">
        <f>SUM(E6:E20)</f>
        <v>430171.56999999995</v>
      </c>
      <c r="F21" s="226">
        <v>8.0100000000000005E-2</v>
      </c>
      <c r="G21" s="224"/>
      <c r="H21" s="225">
        <f>SUM(H6:H20)</f>
        <v>480551</v>
      </c>
      <c r="I21" s="225">
        <f>SUM(I6:I20)</f>
        <v>461496.0400000001</v>
      </c>
      <c r="J21" s="226">
        <f>(H21-D21)/D21</f>
        <v>6.4227142605564488E-2</v>
      </c>
      <c r="K21" s="224"/>
      <c r="L21" s="225">
        <f>SUM(L6:L20)</f>
        <v>519035.16000000003</v>
      </c>
      <c r="M21" s="225">
        <f>SUM(M6:M20)</f>
        <v>473795.26999999996</v>
      </c>
      <c r="N21" s="226">
        <f>(L21-H21)/H21</f>
        <v>8.0083404258861249E-2</v>
      </c>
      <c r="O21" s="224"/>
      <c r="P21" s="225">
        <f>SUM(P6:P20)</f>
        <v>543838.59</v>
      </c>
      <c r="Q21" s="225">
        <f>SUM(Q6:Q20)</f>
        <v>531254.24</v>
      </c>
      <c r="R21" s="226">
        <f>(P21-L21)/L21</f>
        <v>4.7787571847733655E-2</v>
      </c>
      <c r="S21" s="224"/>
      <c r="T21" s="225">
        <f>SUM(T6:T20)</f>
        <v>565244.06999999995</v>
      </c>
      <c r="U21" s="225">
        <f>SUM(U6:U20)</f>
        <v>532450.52</v>
      </c>
      <c r="V21" s="226">
        <f>(T21-P21)/P21</f>
        <v>3.9359987307998834E-2</v>
      </c>
      <c r="W21" s="224"/>
      <c r="X21" s="225">
        <f>SUM(X6:X20)</f>
        <v>571364.34000000008</v>
      </c>
      <c r="Y21" s="225">
        <f>SUM(Y6:Y20)</f>
        <v>567542.17999999993</v>
      </c>
      <c r="Z21" s="226">
        <f>(X21-T21)/T21</f>
        <v>1.0827658926169957E-2</v>
      </c>
      <c r="AA21" s="224"/>
      <c r="AB21" s="225">
        <f>SUM(AB6:AB20)</f>
        <v>583840.3899999999</v>
      </c>
      <c r="AC21" s="225">
        <f>SUM(AC6:AC20)</f>
        <v>568965.25</v>
      </c>
      <c r="AD21" s="226">
        <f>(AB21-X21)/X21</f>
        <v>2.1835541924089649E-2</v>
      </c>
      <c r="AE21" s="224"/>
      <c r="AF21" s="225">
        <f>SUM(AF6:AF20)</f>
        <v>612313.54999999993</v>
      </c>
      <c r="AG21" s="378">
        <f>SUM(AG6:AG20)</f>
        <v>615496.70000000007</v>
      </c>
      <c r="AH21" s="225">
        <f>SUM(AH6:AH20)</f>
        <v>585302.36</v>
      </c>
      <c r="AI21" s="226">
        <f>(AG21-AB21)/AB21</f>
        <v>5.4220829086525132E-2</v>
      </c>
      <c r="AJ21" s="226"/>
      <c r="AK21" s="225">
        <f>SUM(AK6:AK20)</f>
        <v>635736.31999999995</v>
      </c>
      <c r="AL21" s="225">
        <f>SUM(AL6:AL20)</f>
        <v>300746.42000000004</v>
      </c>
      <c r="AM21" s="226">
        <f>(AK21-AG21)/AG21</f>
        <v>3.2883393200970661E-2</v>
      </c>
      <c r="AN21" s="224"/>
      <c r="AO21" s="227">
        <f>SUM(AO6:AO20)</f>
        <v>707221.99910000002</v>
      </c>
      <c r="AP21" s="225">
        <f>SUM(AP6:AP20)</f>
        <v>71485.679100000023</v>
      </c>
      <c r="AQ21" s="226">
        <f>(AO21-AK21)/AK21</f>
        <v>0.11244548541760217</v>
      </c>
      <c r="AR21" s="224"/>
    </row>
    <row r="22" spans="1:44" x14ac:dyDescent="0.25">
      <c r="D22" s="112"/>
      <c r="E22" s="112"/>
      <c r="F22" s="216"/>
      <c r="H22" s="112"/>
      <c r="I22" s="112"/>
      <c r="J22" s="216"/>
      <c r="L22" s="112"/>
      <c r="M22" s="112"/>
      <c r="N22" s="396"/>
      <c r="P22" s="112"/>
      <c r="Q22" s="112"/>
      <c r="R22" s="396"/>
      <c r="T22" s="112"/>
      <c r="U22" s="112"/>
      <c r="V22" s="396"/>
      <c r="X22" s="112"/>
      <c r="Y22" s="112"/>
      <c r="Z22" s="396"/>
      <c r="AB22" s="112"/>
      <c r="AC22" s="112"/>
      <c r="AD22" s="396"/>
      <c r="AF22" s="112"/>
      <c r="AG22" s="112"/>
      <c r="AH22" s="112"/>
      <c r="AI22" s="396"/>
      <c r="AJ22" s="80"/>
      <c r="AK22" s="112"/>
      <c r="AL22" s="112"/>
      <c r="AM22" s="396"/>
      <c r="AQ22" s="396"/>
    </row>
    <row r="23" spans="1:44" x14ac:dyDescent="0.25">
      <c r="C23" s="111" t="s">
        <v>277</v>
      </c>
      <c r="D23" s="112"/>
      <c r="E23" s="112"/>
      <c r="F23" s="216"/>
      <c r="H23" s="112"/>
      <c r="I23" s="112"/>
      <c r="J23" s="216"/>
      <c r="L23" s="112"/>
      <c r="M23" s="112"/>
      <c r="N23" s="396"/>
      <c r="P23" s="112"/>
      <c r="Q23" s="112"/>
      <c r="R23" s="396"/>
      <c r="T23" s="112"/>
      <c r="U23" s="112"/>
      <c r="V23" s="396"/>
      <c r="X23" s="112"/>
      <c r="Y23" s="112"/>
      <c r="Z23" s="396"/>
      <c r="AB23" s="112"/>
      <c r="AC23" s="112"/>
      <c r="AD23" s="396"/>
      <c r="AF23" s="112"/>
      <c r="AG23" s="112"/>
      <c r="AH23" s="112"/>
      <c r="AI23" s="396"/>
      <c r="AJ23" s="80"/>
      <c r="AK23" s="112"/>
      <c r="AL23" s="112"/>
      <c r="AM23" s="396"/>
      <c r="AQ23" s="396"/>
      <c r="AR23" s="111"/>
    </row>
    <row r="24" spans="1:44" x14ac:dyDescent="0.25">
      <c r="A24" s="161" t="s">
        <v>503</v>
      </c>
      <c r="B24" s="119" t="str">
        <f>MID(A24,14,4)</f>
        <v>5210</v>
      </c>
      <c r="C24" s="161" t="s">
        <v>1626</v>
      </c>
      <c r="D24" s="245">
        <v>4400</v>
      </c>
      <c r="E24" s="245">
        <v>2761.74</v>
      </c>
      <c r="F24" s="216"/>
      <c r="H24" s="245">
        <v>4400</v>
      </c>
      <c r="I24" s="245">
        <v>2270.62</v>
      </c>
      <c r="J24" s="216"/>
      <c r="L24" s="245">
        <v>3200</v>
      </c>
      <c r="M24" s="245">
        <v>2563.12</v>
      </c>
      <c r="N24" s="396"/>
      <c r="P24" s="245">
        <v>3200</v>
      </c>
      <c r="Q24" s="245">
        <v>2658.61</v>
      </c>
      <c r="R24" s="396"/>
      <c r="T24" s="245">
        <v>3200</v>
      </c>
      <c r="U24" s="245">
        <v>2034.71</v>
      </c>
      <c r="V24" s="396"/>
      <c r="W24" s="213"/>
      <c r="X24" s="245">
        <v>3200</v>
      </c>
      <c r="Y24" s="245">
        <v>0</v>
      </c>
      <c r="Z24" s="396">
        <f>(X24-T24)/T24</f>
        <v>0</v>
      </c>
      <c r="AA24" s="213"/>
      <c r="AB24" s="245">
        <v>3200</v>
      </c>
      <c r="AC24" s="245">
        <v>1123.55</v>
      </c>
      <c r="AD24" s="396">
        <f>(AB24-X24)/X24</f>
        <v>0</v>
      </c>
      <c r="AF24" s="245">
        <v>3200</v>
      </c>
      <c r="AG24" s="245">
        <v>3200</v>
      </c>
      <c r="AH24" s="245">
        <v>1166.75</v>
      </c>
      <c r="AI24" s="396">
        <f>(AG24-AB24)/AB24</f>
        <v>0</v>
      </c>
      <c r="AJ24" s="80"/>
      <c r="AK24" s="398">
        <v>3200</v>
      </c>
      <c r="AL24" s="398">
        <v>623.58000000000004</v>
      </c>
      <c r="AM24" s="396">
        <f>(AK24-AG24)/AG24</f>
        <v>0</v>
      </c>
      <c r="AO24" s="163">
        <v>3200</v>
      </c>
      <c r="AP24" s="399">
        <f>AO24-AK24</f>
        <v>0</v>
      </c>
      <c r="AQ24" s="396">
        <f>(AO24-AK24)/AK24</f>
        <v>0</v>
      </c>
      <c r="AR24" s="166"/>
    </row>
    <row r="25" spans="1:44" x14ac:dyDescent="0.25">
      <c r="A25" s="161" t="s">
        <v>504</v>
      </c>
      <c r="B25" s="119" t="str">
        <f t="shared" ref="B25:B30" si="7">MID(A25,14,4)</f>
        <v>5211</v>
      </c>
      <c r="C25" s="161" t="s">
        <v>1628</v>
      </c>
      <c r="D25" s="245">
        <v>3500</v>
      </c>
      <c r="E25" s="245">
        <v>5110.8599999999997</v>
      </c>
      <c r="F25" s="216"/>
      <c r="H25" s="245">
        <v>3500</v>
      </c>
      <c r="I25" s="245">
        <v>3903.8</v>
      </c>
      <c r="J25" s="216"/>
      <c r="L25" s="245">
        <v>4200</v>
      </c>
      <c r="M25" s="245">
        <v>5364.61</v>
      </c>
      <c r="N25" s="396"/>
      <c r="P25" s="245">
        <v>4300</v>
      </c>
      <c r="Q25" s="245">
        <v>4663.3</v>
      </c>
      <c r="R25" s="396"/>
      <c r="T25" s="245">
        <v>4500</v>
      </c>
      <c r="U25" s="245">
        <v>3468.72</v>
      </c>
      <c r="V25" s="396"/>
      <c r="W25" s="213"/>
      <c r="X25" s="245">
        <v>4500</v>
      </c>
      <c r="Y25" s="245">
        <v>1810.65</v>
      </c>
      <c r="Z25" s="396">
        <f t="shared" ref="Z25:Z49" si="8">(X25-T25)/T25</f>
        <v>0</v>
      </c>
      <c r="AA25" s="213"/>
      <c r="AB25" s="245">
        <v>4500</v>
      </c>
      <c r="AC25" s="245">
        <v>2196.52</v>
      </c>
      <c r="AD25" s="396">
        <f t="shared" ref="AD25:AD49" si="9">(AB25-X25)/X25</f>
        <v>0</v>
      </c>
      <c r="AF25" s="245">
        <v>4500</v>
      </c>
      <c r="AG25" s="245">
        <v>4500</v>
      </c>
      <c r="AH25" s="245">
        <v>3565.29</v>
      </c>
      <c r="AI25" s="396">
        <f t="shared" ref="AI25:AI49" si="10">(AG25-AB25)/AB25</f>
        <v>0</v>
      </c>
      <c r="AJ25" s="80"/>
      <c r="AK25" s="398">
        <v>4500</v>
      </c>
      <c r="AL25" s="398">
        <v>440.68</v>
      </c>
      <c r="AM25" s="396">
        <f t="shared" ref="AM25:AM49" si="11">(AK25-AG25)/AG25</f>
        <v>0</v>
      </c>
      <c r="AO25" s="163">
        <v>4500</v>
      </c>
      <c r="AP25" s="399">
        <f t="shared" ref="AP25:AP50" si="12">AO25-AK25</f>
        <v>0</v>
      </c>
      <c r="AQ25" s="396">
        <f t="shared" ref="AQ25:AQ49" si="13">(AO25-AK25)/AK25</f>
        <v>0</v>
      </c>
      <c r="AR25" s="166"/>
    </row>
    <row r="26" spans="1:44" s="394" customFormat="1" x14ac:dyDescent="0.25">
      <c r="A26" s="394" t="s">
        <v>505</v>
      </c>
      <c r="B26" s="395" t="str">
        <f t="shared" si="7"/>
        <v>5239</v>
      </c>
      <c r="C26" s="394" t="s">
        <v>1680</v>
      </c>
      <c r="D26" s="398">
        <v>400</v>
      </c>
      <c r="E26" s="398">
        <v>616</v>
      </c>
      <c r="F26" s="396"/>
      <c r="G26" s="397"/>
      <c r="H26" s="398">
        <v>400</v>
      </c>
      <c r="I26" s="398">
        <v>336</v>
      </c>
      <c r="J26" s="396"/>
      <c r="K26" s="397"/>
      <c r="L26" s="398">
        <v>525</v>
      </c>
      <c r="M26" s="398">
        <v>815</v>
      </c>
      <c r="N26" s="396"/>
      <c r="O26" s="397"/>
      <c r="P26" s="398">
        <v>525</v>
      </c>
      <c r="Q26" s="398">
        <v>599</v>
      </c>
      <c r="R26" s="396"/>
      <c r="S26" s="397"/>
      <c r="T26" s="398">
        <v>525</v>
      </c>
      <c r="U26" s="398">
        <v>715</v>
      </c>
      <c r="V26" s="396"/>
      <c r="W26" s="397"/>
      <c r="X26" s="398">
        <v>525</v>
      </c>
      <c r="Y26" s="398">
        <v>498</v>
      </c>
      <c r="Z26" s="396">
        <f t="shared" si="8"/>
        <v>0</v>
      </c>
      <c r="AA26" s="397"/>
      <c r="AB26" s="398">
        <v>525</v>
      </c>
      <c r="AC26" s="398">
        <v>643</v>
      </c>
      <c r="AD26" s="396">
        <f t="shared" si="9"/>
        <v>0</v>
      </c>
      <c r="AE26" s="397"/>
      <c r="AF26" s="398">
        <v>525</v>
      </c>
      <c r="AG26" s="398">
        <v>525</v>
      </c>
      <c r="AH26" s="398">
        <v>695</v>
      </c>
      <c r="AI26" s="396">
        <f t="shared" si="10"/>
        <v>0</v>
      </c>
      <c r="AJ26" s="396"/>
      <c r="AK26" s="398">
        <v>650</v>
      </c>
      <c r="AL26" s="398">
        <v>180</v>
      </c>
      <c r="AM26" s="396">
        <f t="shared" si="11"/>
        <v>0.23809523809523808</v>
      </c>
      <c r="AN26" s="397"/>
      <c r="AO26" s="163">
        <v>650</v>
      </c>
      <c r="AP26" s="399">
        <f t="shared" si="12"/>
        <v>0</v>
      </c>
      <c r="AQ26" s="396">
        <f t="shared" si="13"/>
        <v>0</v>
      </c>
      <c r="AR26" s="400"/>
    </row>
    <row r="27" spans="1:44" s="394" customFormat="1" x14ac:dyDescent="0.25">
      <c r="A27" s="394" t="s">
        <v>506</v>
      </c>
      <c r="B27" s="395" t="str">
        <f t="shared" si="7"/>
        <v>5241</v>
      </c>
      <c r="C27" s="394" t="s">
        <v>1630</v>
      </c>
      <c r="D27" s="398">
        <v>4000</v>
      </c>
      <c r="E27" s="398">
        <v>4556.3999999999996</v>
      </c>
      <c r="F27" s="396"/>
      <c r="G27" s="397"/>
      <c r="H27" s="398">
        <v>4000</v>
      </c>
      <c r="I27" s="398">
        <v>4006.08</v>
      </c>
      <c r="J27" s="396"/>
      <c r="K27" s="397"/>
      <c r="L27" s="398">
        <v>5000</v>
      </c>
      <c r="M27" s="398">
        <v>4925.07</v>
      </c>
      <c r="N27" s="396"/>
      <c r="O27" s="397"/>
      <c r="P27" s="398">
        <v>5000</v>
      </c>
      <c r="Q27" s="398">
        <v>4547.88</v>
      </c>
      <c r="R27" s="396"/>
      <c r="S27" s="397"/>
      <c r="T27" s="398">
        <v>5000</v>
      </c>
      <c r="U27" s="398">
        <v>5406.33</v>
      </c>
      <c r="V27" s="396"/>
      <c r="W27" s="397"/>
      <c r="X27" s="398">
        <v>5000</v>
      </c>
      <c r="Y27" s="398">
        <v>5083.58</v>
      </c>
      <c r="Z27" s="396">
        <f t="shared" si="8"/>
        <v>0</v>
      </c>
      <c r="AA27" s="397"/>
      <c r="AB27" s="398">
        <v>5000</v>
      </c>
      <c r="AC27" s="398">
        <v>6055.07</v>
      </c>
      <c r="AD27" s="396">
        <f t="shared" si="9"/>
        <v>0</v>
      </c>
      <c r="AE27" s="397"/>
      <c r="AF27" s="398">
        <v>5000</v>
      </c>
      <c r="AG27" s="380">
        <v>9000</v>
      </c>
      <c r="AH27" s="398">
        <v>9138.75</v>
      </c>
      <c r="AI27" s="396">
        <f t="shared" si="10"/>
        <v>0.8</v>
      </c>
      <c r="AJ27" s="396"/>
      <c r="AK27" s="398">
        <v>6000</v>
      </c>
      <c r="AL27" s="398">
        <v>2283.7600000000002</v>
      </c>
      <c r="AM27" s="396">
        <f t="shared" si="11"/>
        <v>-0.33333333333333331</v>
      </c>
      <c r="AN27" s="397"/>
      <c r="AO27" s="163">
        <v>7000</v>
      </c>
      <c r="AP27" s="399">
        <f t="shared" si="12"/>
        <v>1000</v>
      </c>
      <c r="AQ27" s="396">
        <f t="shared" si="13"/>
        <v>0.16666666666666666</v>
      </c>
      <c r="AR27" s="400"/>
    </row>
    <row r="28" spans="1:44" s="394" customFormat="1" x14ac:dyDescent="0.25">
      <c r="A28" s="394" t="s">
        <v>507</v>
      </c>
      <c r="B28" s="395" t="str">
        <f t="shared" si="7"/>
        <v>5243</v>
      </c>
      <c r="C28" s="394" t="s">
        <v>1681</v>
      </c>
      <c r="D28" s="398">
        <v>8500</v>
      </c>
      <c r="E28" s="398">
        <v>4791.87</v>
      </c>
      <c r="F28" s="396"/>
      <c r="G28" s="397"/>
      <c r="H28" s="398">
        <v>8500</v>
      </c>
      <c r="I28" s="398">
        <v>6627.4</v>
      </c>
      <c r="J28" s="396"/>
      <c r="K28" s="397"/>
      <c r="L28" s="398">
        <v>7500</v>
      </c>
      <c r="M28" s="398">
        <v>5052.49</v>
      </c>
      <c r="N28" s="396"/>
      <c r="O28" s="397"/>
      <c r="P28" s="398">
        <v>7500</v>
      </c>
      <c r="Q28" s="398">
        <v>3128.91</v>
      </c>
      <c r="R28" s="396"/>
      <c r="S28" s="397"/>
      <c r="T28" s="398">
        <v>8500</v>
      </c>
      <c r="U28" s="398">
        <v>6760.94</v>
      </c>
      <c r="V28" s="396"/>
      <c r="W28" s="397"/>
      <c r="X28" s="398">
        <v>8500</v>
      </c>
      <c r="Y28" s="398">
        <v>11831.2</v>
      </c>
      <c r="Z28" s="396">
        <f t="shared" si="8"/>
        <v>0</v>
      </c>
      <c r="AA28" s="397"/>
      <c r="AB28" s="398">
        <v>8500</v>
      </c>
      <c r="AC28" s="398">
        <v>6688.3</v>
      </c>
      <c r="AD28" s="396">
        <f t="shared" si="9"/>
        <v>0</v>
      </c>
      <c r="AE28" s="397"/>
      <c r="AF28" s="398">
        <v>8500</v>
      </c>
      <c r="AG28" s="398">
        <v>8500</v>
      </c>
      <c r="AH28" s="398">
        <v>4524.4399999999996</v>
      </c>
      <c r="AI28" s="396">
        <f t="shared" si="10"/>
        <v>0</v>
      </c>
      <c r="AJ28" s="396"/>
      <c r="AK28" s="398">
        <v>8500</v>
      </c>
      <c r="AL28" s="398">
        <v>7971.42</v>
      </c>
      <c r="AM28" s="396">
        <f t="shared" si="11"/>
        <v>0</v>
      </c>
      <c r="AN28" s="397"/>
      <c r="AO28" s="163">
        <v>8500</v>
      </c>
      <c r="AP28" s="399">
        <f t="shared" si="12"/>
        <v>0</v>
      </c>
      <c r="AQ28" s="396">
        <f t="shared" si="13"/>
        <v>0</v>
      </c>
      <c r="AR28" s="400"/>
    </row>
    <row r="29" spans="1:44" s="394" customFormat="1" x14ac:dyDescent="0.25">
      <c r="A29" s="394" t="s">
        <v>508</v>
      </c>
      <c r="B29" s="395" t="str">
        <f t="shared" si="7"/>
        <v>5245</v>
      </c>
      <c r="C29" s="394" t="s">
        <v>1633</v>
      </c>
      <c r="D29" s="398">
        <v>1100</v>
      </c>
      <c r="E29" s="398">
        <v>1222</v>
      </c>
      <c r="F29" s="396"/>
      <c r="G29" s="397"/>
      <c r="H29" s="398">
        <v>1100</v>
      </c>
      <c r="I29" s="398">
        <v>184</v>
      </c>
      <c r="J29" s="396"/>
      <c r="K29" s="397"/>
      <c r="L29" s="398">
        <v>1100</v>
      </c>
      <c r="M29" s="398">
        <v>461</v>
      </c>
      <c r="N29" s="396"/>
      <c r="O29" s="397"/>
      <c r="P29" s="398">
        <v>1100</v>
      </c>
      <c r="Q29" s="398">
        <v>615.5</v>
      </c>
      <c r="R29" s="396"/>
      <c r="S29" s="397"/>
      <c r="T29" s="398">
        <v>900</v>
      </c>
      <c r="U29" s="398">
        <v>701.61</v>
      </c>
      <c r="V29" s="396"/>
      <c r="W29" s="397"/>
      <c r="X29" s="398">
        <v>900</v>
      </c>
      <c r="Y29" s="398">
        <v>522</v>
      </c>
      <c r="Z29" s="396">
        <f t="shared" si="8"/>
        <v>0</v>
      </c>
      <c r="AA29" s="397"/>
      <c r="AB29" s="398">
        <v>900</v>
      </c>
      <c r="AC29" s="398">
        <v>784.5</v>
      </c>
      <c r="AD29" s="396">
        <f t="shared" si="9"/>
        <v>0</v>
      </c>
      <c r="AE29" s="397"/>
      <c r="AF29" s="398">
        <v>900</v>
      </c>
      <c r="AG29" s="398">
        <v>900</v>
      </c>
      <c r="AH29" s="398">
        <v>1702.16</v>
      </c>
      <c r="AI29" s="396">
        <f t="shared" si="10"/>
        <v>0</v>
      </c>
      <c r="AJ29" s="396"/>
      <c r="AK29" s="398">
        <v>900</v>
      </c>
      <c r="AL29" s="398">
        <v>244</v>
      </c>
      <c r="AM29" s="396">
        <f t="shared" si="11"/>
        <v>0</v>
      </c>
      <c r="AN29" s="397"/>
      <c r="AO29" s="163">
        <v>900</v>
      </c>
      <c r="AP29" s="399">
        <f t="shared" si="12"/>
        <v>0</v>
      </c>
      <c r="AQ29" s="396">
        <f t="shared" si="13"/>
        <v>0</v>
      </c>
      <c r="AR29" s="400"/>
    </row>
    <row r="30" spans="1:44" s="394" customFormat="1" x14ac:dyDescent="0.25">
      <c r="A30" s="394" t="s">
        <v>509</v>
      </c>
      <c r="B30" s="395" t="str">
        <f t="shared" si="7"/>
        <v>5247</v>
      </c>
      <c r="C30" s="394" t="s">
        <v>1635</v>
      </c>
      <c r="D30" s="398">
        <v>15900</v>
      </c>
      <c r="E30" s="398">
        <v>15994.93</v>
      </c>
      <c r="F30" s="396"/>
      <c r="G30" s="397"/>
      <c r="H30" s="398">
        <v>17808</v>
      </c>
      <c r="I30" s="398">
        <v>15003.1</v>
      </c>
      <c r="J30" s="396"/>
      <c r="K30" s="397"/>
      <c r="L30" s="398">
        <v>16036.59</v>
      </c>
      <c r="M30" s="398">
        <v>20920.22</v>
      </c>
      <c r="N30" s="396"/>
      <c r="O30" s="397"/>
      <c r="P30" s="398">
        <v>18036.59</v>
      </c>
      <c r="Q30" s="398">
        <v>22405.66</v>
      </c>
      <c r="R30" s="396"/>
      <c r="S30" s="397"/>
      <c r="T30" s="398">
        <v>20200.98</v>
      </c>
      <c r="U30" s="398">
        <v>21946.84</v>
      </c>
      <c r="V30" s="396"/>
      <c r="W30" s="397"/>
      <c r="X30" s="398">
        <v>25153</v>
      </c>
      <c r="Y30" s="398">
        <v>28127.9</v>
      </c>
      <c r="Z30" s="396">
        <f t="shared" si="8"/>
        <v>0.24513761213564889</v>
      </c>
      <c r="AA30" s="397"/>
      <c r="AB30" s="398">
        <v>25153</v>
      </c>
      <c r="AC30" s="398">
        <v>25242.55</v>
      </c>
      <c r="AD30" s="396">
        <f t="shared" si="9"/>
        <v>0</v>
      </c>
      <c r="AE30" s="397"/>
      <c r="AF30" s="398">
        <v>28171.360000000001</v>
      </c>
      <c r="AG30" s="398">
        <v>28171.360000000001</v>
      </c>
      <c r="AH30" s="398">
        <v>25017.759999999998</v>
      </c>
      <c r="AI30" s="396">
        <f t="shared" si="10"/>
        <v>0.12000000000000002</v>
      </c>
      <c r="AJ30" s="396"/>
      <c r="AK30" s="398">
        <v>25000</v>
      </c>
      <c r="AL30" s="398">
        <v>23817.71</v>
      </c>
      <c r="AM30" s="396">
        <f t="shared" si="11"/>
        <v>-0.11257390484520451</v>
      </c>
      <c r="AN30" s="397"/>
      <c r="AO30" s="163">
        <v>25000</v>
      </c>
      <c r="AP30" s="399">
        <f t="shared" si="12"/>
        <v>0</v>
      </c>
      <c r="AQ30" s="396">
        <f t="shared" si="13"/>
        <v>0</v>
      </c>
      <c r="AR30" s="400" t="s">
        <v>1382</v>
      </c>
    </row>
    <row r="31" spans="1:44" s="394" customFormat="1" x14ac:dyDescent="0.25">
      <c r="A31" s="394" t="s">
        <v>1379</v>
      </c>
      <c r="B31" s="395" t="s">
        <v>1380</v>
      </c>
      <c r="C31" s="394" t="s">
        <v>1453</v>
      </c>
      <c r="D31" s="398">
        <v>0</v>
      </c>
      <c r="E31" s="398">
        <v>0</v>
      </c>
      <c r="F31" s="396"/>
      <c r="G31" s="397"/>
      <c r="H31" s="398">
        <v>0</v>
      </c>
      <c r="I31" s="398">
        <v>0</v>
      </c>
      <c r="J31" s="396"/>
      <c r="K31" s="397"/>
      <c r="L31" s="398">
        <v>0</v>
      </c>
      <c r="M31" s="398">
        <v>0</v>
      </c>
      <c r="N31" s="396"/>
      <c r="O31" s="397"/>
      <c r="P31" s="398">
        <v>0</v>
      </c>
      <c r="Q31" s="398">
        <v>0</v>
      </c>
      <c r="R31" s="396"/>
      <c r="S31" s="397"/>
      <c r="T31" s="398">
        <v>0</v>
      </c>
      <c r="U31" s="398">
        <v>0</v>
      </c>
      <c r="V31" s="396"/>
      <c r="W31" s="397"/>
      <c r="X31" s="398">
        <v>0</v>
      </c>
      <c r="Y31" s="398">
        <v>0</v>
      </c>
      <c r="Z31" s="396" t="e">
        <f t="shared" si="8"/>
        <v>#DIV/0!</v>
      </c>
      <c r="AA31" s="397"/>
      <c r="AB31" s="398">
        <v>0</v>
      </c>
      <c r="AC31" s="398">
        <v>0</v>
      </c>
      <c r="AD31" s="396" t="e">
        <f t="shared" si="9"/>
        <v>#DIV/0!</v>
      </c>
      <c r="AE31" s="397"/>
      <c r="AF31" s="398"/>
      <c r="AG31" s="398"/>
      <c r="AH31" s="398">
        <v>2723.07</v>
      </c>
      <c r="AI31" s="396" t="e">
        <f t="shared" si="10"/>
        <v>#DIV/0!</v>
      </c>
      <c r="AJ31" s="396"/>
      <c r="AK31" s="398">
        <v>2624.04</v>
      </c>
      <c r="AL31" s="398">
        <v>1335.94</v>
      </c>
      <c r="AM31" s="396" t="e">
        <f t="shared" si="11"/>
        <v>#DIV/0!</v>
      </c>
      <c r="AN31" s="397"/>
      <c r="AO31" s="163">
        <v>2624.04</v>
      </c>
      <c r="AP31" s="399">
        <f t="shared" si="12"/>
        <v>0</v>
      </c>
      <c r="AQ31" s="396">
        <f t="shared" si="13"/>
        <v>0</v>
      </c>
      <c r="AR31" s="400" t="s">
        <v>1381</v>
      </c>
    </row>
    <row r="32" spans="1:44" s="394" customFormat="1" x14ac:dyDescent="0.25">
      <c r="A32" s="394" t="s">
        <v>1182</v>
      </c>
      <c r="B32" s="395" t="str">
        <f t="shared" ref="B32:B50" si="14">MID(A32,14,4)</f>
        <v>5251</v>
      </c>
      <c r="C32" s="394" t="s">
        <v>1682</v>
      </c>
      <c r="D32" s="398">
        <v>0</v>
      </c>
      <c r="E32" s="398">
        <v>0</v>
      </c>
      <c r="F32" s="396"/>
      <c r="G32" s="397"/>
      <c r="H32" s="398">
        <v>0</v>
      </c>
      <c r="I32" s="398">
        <v>642</v>
      </c>
      <c r="J32" s="396"/>
      <c r="K32" s="397"/>
      <c r="L32" s="398">
        <v>0</v>
      </c>
      <c r="M32" s="398">
        <v>700</v>
      </c>
      <c r="N32" s="396"/>
      <c r="O32" s="397"/>
      <c r="P32" s="398">
        <v>0</v>
      </c>
      <c r="Q32" s="398">
        <v>631</v>
      </c>
      <c r="R32" s="396"/>
      <c r="S32" s="397"/>
      <c r="T32" s="398">
        <v>0</v>
      </c>
      <c r="U32" s="398">
        <v>1433</v>
      </c>
      <c r="V32" s="396"/>
      <c r="W32" s="397"/>
      <c r="X32" s="398">
        <v>0</v>
      </c>
      <c r="Y32" s="398">
        <v>605</v>
      </c>
      <c r="Z32" s="396" t="e">
        <f t="shared" si="8"/>
        <v>#DIV/0!</v>
      </c>
      <c r="AA32" s="397"/>
      <c r="AB32" s="398">
        <v>0</v>
      </c>
      <c r="AC32" s="398">
        <v>476.63</v>
      </c>
      <c r="AD32" s="396" t="e">
        <f t="shared" si="9"/>
        <v>#DIV/0!</v>
      </c>
      <c r="AE32" s="397"/>
      <c r="AF32" s="398"/>
      <c r="AG32" s="398"/>
      <c r="AH32" s="398"/>
      <c r="AI32" s="396" t="e">
        <f t="shared" si="10"/>
        <v>#DIV/0!</v>
      </c>
      <c r="AJ32" s="396"/>
      <c r="AK32" s="398"/>
      <c r="AL32" s="398"/>
      <c r="AM32" s="396" t="e">
        <f t="shared" si="11"/>
        <v>#DIV/0!</v>
      </c>
      <c r="AN32" s="397"/>
      <c r="AO32" s="163"/>
      <c r="AP32" s="399">
        <f t="shared" si="12"/>
        <v>0</v>
      </c>
      <c r="AQ32" s="396" t="e">
        <f t="shared" si="13"/>
        <v>#DIV/0!</v>
      </c>
      <c r="AR32" s="400"/>
    </row>
    <row r="33" spans="1:44" s="394" customFormat="1" x14ac:dyDescent="0.25">
      <c r="A33" s="394" t="s">
        <v>510</v>
      </c>
      <c r="B33" s="395" t="str">
        <f t="shared" si="14"/>
        <v>5303</v>
      </c>
      <c r="C33" s="394" t="s">
        <v>1495</v>
      </c>
      <c r="D33" s="398">
        <v>3500</v>
      </c>
      <c r="E33" s="398">
        <v>2896.65</v>
      </c>
      <c r="F33" s="396"/>
      <c r="G33" s="397"/>
      <c r="H33" s="398">
        <v>4500</v>
      </c>
      <c r="I33" s="398">
        <v>823.17</v>
      </c>
      <c r="J33" s="396"/>
      <c r="K33" s="397"/>
      <c r="L33" s="398">
        <v>4600</v>
      </c>
      <c r="M33" s="398">
        <v>3442.54</v>
      </c>
      <c r="N33" s="396"/>
      <c r="O33" s="397"/>
      <c r="P33" s="398">
        <v>4800</v>
      </c>
      <c r="Q33" s="398">
        <v>3068.15</v>
      </c>
      <c r="R33" s="396"/>
      <c r="S33" s="397"/>
      <c r="T33" s="398">
        <v>4800</v>
      </c>
      <c r="U33" s="398">
        <v>2853.99</v>
      </c>
      <c r="V33" s="396"/>
      <c r="W33" s="397"/>
      <c r="X33" s="398">
        <v>4800</v>
      </c>
      <c r="Y33" s="398">
        <v>6857.12</v>
      </c>
      <c r="Z33" s="396">
        <f t="shared" si="8"/>
        <v>0</v>
      </c>
      <c r="AA33" s="397"/>
      <c r="AB33" s="398">
        <v>7200</v>
      </c>
      <c r="AC33" s="398">
        <v>2333.29</v>
      </c>
      <c r="AD33" s="396">
        <f t="shared" si="9"/>
        <v>0.5</v>
      </c>
      <c r="AE33" s="397"/>
      <c r="AF33" s="398">
        <v>7200</v>
      </c>
      <c r="AG33" s="398">
        <v>7200</v>
      </c>
      <c r="AH33" s="398">
        <v>2981.56</v>
      </c>
      <c r="AI33" s="396">
        <f t="shared" si="10"/>
        <v>0</v>
      </c>
      <c r="AJ33" s="396"/>
      <c r="AK33" s="398">
        <v>3600</v>
      </c>
      <c r="AL33" s="398">
        <v>2939</v>
      </c>
      <c r="AM33" s="396">
        <f t="shared" si="11"/>
        <v>-0.5</v>
      </c>
      <c r="AN33" s="397"/>
      <c r="AO33" s="163">
        <v>4600</v>
      </c>
      <c r="AP33" s="399">
        <f t="shared" si="12"/>
        <v>1000</v>
      </c>
      <c r="AQ33" s="396">
        <f t="shared" si="13"/>
        <v>0.27777777777777779</v>
      </c>
      <c r="AR33" s="400"/>
    </row>
    <row r="34" spans="1:44" s="394" customFormat="1" x14ac:dyDescent="0.25">
      <c r="A34" s="394" t="s">
        <v>511</v>
      </c>
      <c r="B34" s="395" t="str">
        <f t="shared" si="14"/>
        <v>5306</v>
      </c>
      <c r="C34" s="394" t="s">
        <v>1599</v>
      </c>
      <c r="D34" s="398">
        <v>250</v>
      </c>
      <c r="E34" s="398">
        <v>0</v>
      </c>
      <c r="F34" s="396"/>
      <c r="G34" s="397"/>
      <c r="H34" s="398">
        <v>250</v>
      </c>
      <c r="I34" s="398">
        <v>0</v>
      </c>
      <c r="J34" s="396"/>
      <c r="K34" s="397"/>
      <c r="L34" s="398">
        <v>150</v>
      </c>
      <c r="M34" s="398">
        <v>113.1</v>
      </c>
      <c r="N34" s="396"/>
      <c r="O34" s="397"/>
      <c r="P34" s="398">
        <v>150</v>
      </c>
      <c r="Q34" s="398">
        <v>0</v>
      </c>
      <c r="R34" s="396"/>
      <c r="S34" s="397"/>
      <c r="T34" s="398">
        <v>150</v>
      </c>
      <c r="U34" s="398">
        <v>50</v>
      </c>
      <c r="V34" s="396"/>
      <c r="W34" s="397"/>
      <c r="X34" s="398">
        <v>150</v>
      </c>
      <c r="Y34" s="398">
        <v>30</v>
      </c>
      <c r="Z34" s="396">
        <f t="shared" si="8"/>
        <v>0</v>
      </c>
      <c r="AA34" s="397"/>
      <c r="AB34" s="398">
        <v>150</v>
      </c>
      <c r="AC34" s="398">
        <v>639.05999999999995</v>
      </c>
      <c r="AD34" s="396">
        <f t="shared" si="9"/>
        <v>0</v>
      </c>
      <c r="AE34" s="397"/>
      <c r="AF34" s="398">
        <v>150</v>
      </c>
      <c r="AG34" s="398">
        <v>150</v>
      </c>
      <c r="AH34" s="398">
        <v>0</v>
      </c>
      <c r="AI34" s="396">
        <f t="shared" si="10"/>
        <v>0</v>
      </c>
      <c r="AJ34" s="396"/>
      <c r="AK34" s="398">
        <v>150</v>
      </c>
      <c r="AL34" s="398">
        <v>0</v>
      </c>
      <c r="AM34" s="396">
        <f t="shared" si="11"/>
        <v>0</v>
      </c>
      <c r="AN34" s="397"/>
      <c r="AO34" s="163">
        <v>150</v>
      </c>
      <c r="AP34" s="399">
        <f t="shared" si="12"/>
        <v>0</v>
      </c>
      <c r="AQ34" s="396">
        <f t="shared" si="13"/>
        <v>0</v>
      </c>
      <c r="AR34" s="400"/>
    </row>
    <row r="35" spans="1:44" s="394" customFormat="1" x14ac:dyDescent="0.25">
      <c r="A35" s="394" t="s">
        <v>512</v>
      </c>
      <c r="B35" s="395" t="str">
        <f t="shared" si="14"/>
        <v>5341</v>
      </c>
      <c r="C35" s="394" t="s">
        <v>1640</v>
      </c>
      <c r="D35" s="398">
        <v>5000</v>
      </c>
      <c r="E35" s="398">
        <v>4249.1899999999996</v>
      </c>
      <c r="F35" s="396"/>
      <c r="G35" s="397"/>
      <c r="H35" s="398">
        <v>5000</v>
      </c>
      <c r="I35" s="398">
        <v>3440.4</v>
      </c>
      <c r="J35" s="396"/>
      <c r="K35" s="397"/>
      <c r="L35" s="398">
        <v>5000</v>
      </c>
      <c r="M35" s="398">
        <v>4478.28</v>
      </c>
      <c r="N35" s="396"/>
      <c r="O35" s="397"/>
      <c r="P35" s="398">
        <v>5000</v>
      </c>
      <c r="Q35" s="398">
        <v>4537.76</v>
      </c>
      <c r="R35" s="396"/>
      <c r="S35" s="397"/>
      <c r="T35" s="398">
        <v>5000</v>
      </c>
      <c r="U35" s="398">
        <v>4135.7</v>
      </c>
      <c r="V35" s="396"/>
      <c r="W35" s="397"/>
      <c r="X35" s="398">
        <v>5000</v>
      </c>
      <c r="Y35" s="398">
        <v>4006.8</v>
      </c>
      <c r="Z35" s="396">
        <f t="shared" si="8"/>
        <v>0</v>
      </c>
      <c r="AA35" s="397"/>
      <c r="AB35" s="398">
        <v>5000</v>
      </c>
      <c r="AC35" s="398">
        <v>2477.91</v>
      </c>
      <c r="AD35" s="396">
        <f t="shared" si="9"/>
        <v>0</v>
      </c>
      <c r="AE35" s="397"/>
      <c r="AF35" s="398">
        <v>5000</v>
      </c>
      <c r="AG35" s="398">
        <v>5000</v>
      </c>
      <c r="AH35" s="398">
        <v>3844.44</v>
      </c>
      <c r="AI35" s="396">
        <f t="shared" si="10"/>
        <v>0</v>
      </c>
      <c r="AJ35" s="396"/>
      <c r="AK35" s="398">
        <v>5000</v>
      </c>
      <c r="AL35" s="398">
        <v>1559.81</v>
      </c>
      <c r="AM35" s="396">
        <f t="shared" si="11"/>
        <v>0</v>
      </c>
      <c r="AN35" s="397"/>
      <c r="AO35" s="163">
        <v>5000</v>
      </c>
      <c r="AP35" s="399">
        <f t="shared" si="12"/>
        <v>0</v>
      </c>
      <c r="AQ35" s="396">
        <f t="shared" si="13"/>
        <v>0</v>
      </c>
      <c r="AR35" s="400"/>
    </row>
    <row r="36" spans="1:44" s="394" customFormat="1" x14ac:dyDescent="0.25">
      <c r="A36" s="394" t="s">
        <v>513</v>
      </c>
      <c r="B36" s="395" t="str">
        <f t="shared" si="14"/>
        <v>5344</v>
      </c>
      <c r="C36" s="394" t="s">
        <v>1601</v>
      </c>
      <c r="D36" s="398">
        <v>250</v>
      </c>
      <c r="E36" s="398">
        <v>179.94</v>
      </c>
      <c r="F36" s="396"/>
      <c r="G36" s="397"/>
      <c r="H36" s="398">
        <v>250</v>
      </c>
      <c r="I36" s="398">
        <v>180.14</v>
      </c>
      <c r="J36" s="396"/>
      <c r="K36" s="397"/>
      <c r="L36" s="398">
        <v>250</v>
      </c>
      <c r="M36" s="398">
        <v>135.6</v>
      </c>
      <c r="N36" s="396"/>
      <c r="O36" s="397"/>
      <c r="P36" s="398">
        <v>250</v>
      </c>
      <c r="Q36" s="398">
        <v>226.75</v>
      </c>
      <c r="R36" s="396"/>
      <c r="S36" s="397"/>
      <c r="T36" s="398">
        <v>250</v>
      </c>
      <c r="U36" s="398">
        <v>198.62</v>
      </c>
      <c r="V36" s="396"/>
      <c r="W36" s="397"/>
      <c r="X36" s="398">
        <v>250</v>
      </c>
      <c r="Y36" s="398">
        <v>151.16999999999999</v>
      </c>
      <c r="Z36" s="396">
        <f t="shared" si="8"/>
        <v>0</v>
      </c>
      <c r="AA36" s="397"/>
      <c r="AB36" s="398">
        <v>250</v>
      </c>
      <c r="AC36" s="398">
        <v>154.68</v>
      </c>
      <c r="AD36" s="396">
        <f t="shared" si="9"/>
        <v>0</v>
      </c>
      <c r="AE36" s="397"/>
      <c r="AF36" s="398">
        <v>250</v>
      </c>
      <c r="AG36" s="398">
        <v>250</v>
      </c>
      <c r="AH36" s="398">
        <v>171.19</v>
      </c>
      <c r="AI36" s="396">
        <f t="shared" si="10"/>
        <v>0</v>
      </c>
      <c r="AJ36" s="396"/>
      <c r="AK36" s="398">
        <v>250</v>
      </c>
      <c r="AL36" s="398">
        <v>0.94</v>
      </c>
      <c r="AM36" s="396">
        <f t="shared" si="11"/>
        <v>0</v>
      </c>
      <c r="AN36" s="397"/>
      <c r="AO36" s="163">
        <v>250</v>
      </c>
      <c r="AP36" s="399">
        <f t="shared" si="12"/>
        <v>0</v>
      </c>
      <c r="AQ36" s="396">
        <f t="shared" si="13"/>
        <v>0</v>
      </c>
      <c r="AR36" s="400"/>
    </row>
    <row r="37" spans="1:44" s="394" customFormat="1" x14ac:dyDescent="0.25">
      <c r="A37" s="394" t="s">
        <v>514</v>
      </c>
      <c r="B37" s="395" t="str">
        <f t="shared" si="14"/>
        <v>5420</v>
      </c>
      <c r="C37" s="394" t="s">
        <v>1480</v>
      </c>
      <c r="D37" s="398">
        <v>700</v>
      </c>
      <c r="E37" s="398">
        <v>973.25</v>
      </c>
      <c r="F37" s="396"/>
      <c r="G37" s="397"/>
      <c r="H37" s="398">
        <v>700</v>
      </c>
      <c r="I37" s="398">
        <v>515.41</v>
      </c>
      <c r="J37" s="396"/>
      <c r="K37" s="397"/>
      <c r="L37" s="398">
        <v>800</v>
      </c>
      <c r="M37" s="398">
        <v>738.04</v>
      </c>
      <c r="N37" s="396"/>
      <c r="O37" s="397"/>
      <c r="P37" s="398">
        <v>800</v>
      </c>
      <c r="Q37" s="398">
        <v>477.33</v>
      </c>
      <c r="R37" s="396"/>
      <c r="S37" s="397"/>
      <c r="T37" s="398">
        <v>800</v>
      </c>
      <c r="U37" s="398">
        <v>549.69000000000005</v>
      </c>
      <c r="V37" s="396"/>
      <c r="W37" s="397"/>
      <c r="X37" s="398">
        <v>800</v>
      </c>
      <c r="Y37" s="398">
        <v>765.19</v>
      </c>
      <c r="Z37" s="396">
        <f t="shared" si="8"/>
        <v>0</v>
      </c>
      <c r="AA37" s="397"/>
      <c r="AB37" s="398">
        <v>800</v>
      </c>
      <c r="AC37" s="398">
        <v>1107.26</v>
      </c>
      <c r="AD37" s="396">
        <f t="shared" si="9"/>
        <v>0</v>
      </c>
      <c r="AE37" s="397"/>
      <c r="AF37" s="398">
        <v>800</v>
      </c>
      <c r="AG37" s="398">
        <v>800</v>
      </c>
      <c r="AH37" s="398">
        <v>133.46</v>
      </c>
      <c r="AI37" s="396">
        <f t="shared" si="10"/>
        <v>0</v>
      </c>
      <c r="AJ37" s="396"/>
      <c r="AK37" s="398">
        <v>800</v>
      </c>
      <c r="AL37" s="398">
        <v>419.57</v>
      </c>
      <c r="AM37" s="396">
        <f t="shared" si="11"/>
        <v>0</v>
      </c>
      <c r="AN37" s="397"/>
      <c r="AO37" s="163">
        <v>800</v>
      </c>
      <c r="AP37" s="399">
        <f t="shared" si="12"/>
        <v>0</v>
      </c>
      <c r="AQ37" s="396">
        <f t="shared" si="13"/>
        <v>0</v>
      </c>
      <c r="AR37" s="400"/>
    </row>
    <row r="38" spans="1:44" s="394" customFormat="1" x14ac:dyDescent="0.25">
      <c r="A38" s="394" t="s">
        <v>515</v>
      </c>
      <c r="B38" s="395" t="str">
        <f t="shared" si="14"/>
        <v>5430</v>
      </c>
      <c r="C38" s="394" t="s">
        <v>1673</v>
      </c>
      <c r="D38" s="398">
        <v>500</v>
      </c>
      <c r="E38" s="398">
        <v>346.73</v>
      </c>
      <c r="F38" s="396"/>
      <c r="G38" s="397"/>
      <c r="H38" s="398">
        <v>500</v>
      </c>
      <c r="I38" s="398">
        <v>64.87</v>
      </c>
      <c r="J38" s="396"/>
      <c r="K38" s="397"/>
      <c r="L38" s="398">
        <v>200</v>
      </c>
      <c r="M38" s="398">
        <v>95.49</v>
      </c>
      <c r="N38" s="396"/>
      <c r="O38" s="397"/>
      <c r="P38" s="398">
        <v>200</v>
      </c>
      <c r="Q38" s="398">
        <v>172.85</v>
      </c>
      <c r="R38" s="396"/>
      <c r="S38" s="397"/>
      <c r="T38" s="398">
        <v>200</v>
      </c>
      <c r="U38" s="398">
        <v>380.32</v>
      </c>
      <c r="V38" s="396"/>
      <c r="W38" s="397"/>
      <c r="X38" s="398">
        <v>400</v>
      </c>
      <c r="Y38" s="398">
        <v>325.89999999999998</v>
      </c>
      <c r="Z38" s="396">
        <f t="shared" si="8"/>
        <v>1</v>
      </c>
      <c r="AA38" s="397"/>
      <c r="AB38" s="398">
        <v>400</v>
      </c>
      <c r="AC38" s="398">
        <v>38.96</v>
      </c>
      <c r="AD38" s="396">
        <f t="shared" si="9"/>
        <v>0</v>
      </c>
      <c r="AE38" s="397"/>
      <c r="AF38" s="398">
        <v>400</v>
      </c>
      <c r="AG38" s="398">
        <v>400</v>
      </c>
      <c r="AH38" s="398">
        <v>400</v>
      </c>
      <c r="AI38" s="396">
        <f t="shared" si="10"/>
        <v>0</v>
      </c>
      <c r="AJ38" s="396"/>
      <c r="AK38" s="398">
        <v>400</v>
      </c>
      <c r="AL38" s="398">
        <v>0</v>
      </c>
      <c r="AM38" s="396">
        <f t="shared" si="11"/>
        <v>0</v>
      </c>
      <c r="AN38" s="397"/>
      <c r="AO38" s="163">
        <v>400</v>
      </c>
      <c r="AP38" s="399">
        <f t="shared" si="12"/>
        <v>0</v>
      </c>
      <c r="AQ38" s="396">
        <f t="shared" si="13"/>
        <v>0</v>
      </c>
      <c r="AR38" s="400"/>
    </row>
    <row r="39" spans="1:44" s="394" customFormat="1" x14ac:dyDescent="0.25">
      <c r="A39" s="394" t="s">
        <v>516</v>
      </c>
      <c r="B39" s="395" t="str">
        <f t="shared" si="14"/>
        <v>5450</v>
      </c>
      <c r="C39" s="394" t="s">
        <v>1644</v>
      </c>
      <c r="D39" s="398">
        <v>0</v>
      </c>
      <c r="E39" s="398">
        <v>22.27</v>
      </c>
      <c r="F39" s="396"/>
      <c r="G39" s="397"/>
      <c r="H39" s="398">
        <v>0</v>
      </c>
      <c r="I39" s="398">
        <v>274.85000000000002</v>
      </c>
      <c r="J39" s="396"/>
      <c r="K39" s="397"/>
      <c r="L39" s="398">
        <v>200</v>
      </c>
      <c r="M39" s="398">
        <v>207.2</v>
      </c>
      <c r="N39" s="396"/>
      <c r="O39" s="397"/>
      <c r="P39" s="398">
        <v>200</v>
      </c>
      <c r="Q39" s="398">
        <v>670.77</v>
      </c>
      <c r="R39" s="396"/>
      <c r="S39" s="397"/>
      <c r="T39" s="398">
        <v>200</v>
      </c>
      <c r="U39" s="398">
        <v>324.72000000000003</v>
      </c>
      <c r="V39" s="396"/>
      <c r="W39" s="397"/>
      <c r="X39" s="398">
        <v>400</v>
      </c>
      <c r="Y39" s="398">
        <v>182.46</v>
      </c>
      <c r="Z39" s="396">
        <f t="shared" si="8"/>
        <v>1</v>
      </c>
      <c r="AA39" s="397"/>
      <c r="AB39" s="398">
        <v>400</v>
      </c>
      <c r="AC39" s="398">
        <v>495.01</v>
      </c>
      <c r="AD39" s="396">
        <f t="shared" si="9"/>
        <v>0</v>
      </c>
      <c r="AE39" s="397"/>
      <c r="AF39" s="398">
        <v>400</v>
      </c>
      <c r="AG39" s="398">
        <v>400</v>
      </c>
      <c r="AH39" s="398">
        <v>223.32</v>
      </c>
      <c r="AI39" s="396">
        <f t="shared" si="10"/>
        <v>0</v>
      </c>
      <c r="AJ39" s="396"/>
      <c r="AK39" s="398">
        <v>400</v>
      </c>
      <c r="AL39" s="398">
        <v>186.28</v>
      </c>
      <c r="AM39" s="396">
        <f t="shared" si="11"/>
        <v>0</v>
      </c>
      <c r="AN39" s="397"/>
      <c r="AO39" s="163">
        <v>400</v>
      </c>
      <c r="AP39" s="399">
        <f t="shared" si="12"/>
        <v>0</v>
      </c>
      <c r="AQ39" s="396">
        <f t="shared" si="13"/>
        <v>0</v>
      </c>
      <c r="AR39" s="400"/>
    </row>
    <row r="40" spans="1:44" s="394" customFormat="1" x14ac:dyDescent="0.25">
      <c r="A40" s="394" t="s">
        <v>517</v>
      </c>
      <c r="B40" s="395" t="str">
        <f t="shared" si="14"/>
        <v>5481</v>
      </c>
      <c r="C40" s="394" t="s">
        <v>1683</v>
      </c>
      <c r="D40" s="398">
        <v>14000</v>
      </c>
      <c r="E40" s="398">
        <v>15372.73</v>
      </c>
      <c r="F40" s="396"/>
      <c r="G40" s="397"/>
      <c r="H40" s="398">
        <v>15000</v>
      </c>
      <c r="I40" s="398">
        <v>17860.25</v>
      </c>
      <c r="J40" s="396"/>
      <c r="K40" s="397"/>
      <c r="L40" s="398">
        <v>15000</v>
      </c>
      <c r="M40" s="398">
        <v>15624.7</v>
      </c>
      <c r="N40" s="396"/>
      <c r="O40" s="397"/>
      <c r="P40" s="398">
        <v>16000</v>
      </c>
      <c r="Q40" s="398">
        <v>15631.85</v>
      </c>
      <c r="R40" s="396"/>
      <c r="S40" s="397"/>
      <c r="T40" s="398">
        <v>16000</v>
      </c>
      <c r="U40" s="398">
        <v>18797.13</v>
      </c>
      <c r="V40" s="396"/>
      <c r="W40" s="397"/>
      <c r="X40" s="398">
        <v>16000</v>
      </c>
      <c r="Y40" s="398">
        <v>13686.14</v>
      </c>
      <c r="Z40" s="396">
        <f t="shared" si="8"/>
        <v>0</v>
      </c>
      <c r="AA40" s="397"/>
      <c r="AB40" s="398">
        <v>14000</v>
      </c>
      <c r="AC40" s="398">
        <v>12070.77</v>
      </c>
      <c r="AD40" s="396">
        <f t="shared" si="9"/>
        <v>-0.125</v>
      </c>
      <c r="AE40" s="397"/>
      <c r="AF40" s="398">
        <v>14000</v>
      </c>
      <c r="AG40" s="398">
        <v>14000</v>
      </c>
      <c r="AH40" s="398">
        <v>11723.18</v>
      </c>
      <c r="AI40" s="396">
        <f t="shared" si="10"/>
        <v>0</v>
      </c>
      <c r="AJ40" s="396"/>
      <c r="AK40" s="398">
        <v>14000</v>
      </c>
      <c r="AL40" s="398">
        <v>6560.4</v>
      </c>
      <c r="AM40" s="396">
        <f t="shared" si="11"/>
        <v>0</v>
      </c>
      <c r="AN40" s="397"/>
      <c r="AO40" s="163">
        <v>14000</v>
      </c>
      <c r="AP40" s="399">
        <f t="shared" si="12"/>
        <v>0</v>
      </c>
      <c r="AQ40" s="396">
        <f t="shared" si="13"/>
        <v>0</v>
      </c>
      <c r="AR40" s="400"/>
    </row>
    <row r="41" spans="1:44" s="394" customFormat="1" x14ac:dyDescent="0.25">
      <c r="A41" s="394" t="s">
        <v>518</v>
      </c>
      <c r="B41" s="395" t="str">
        <f t="shared" si="14"/>
        <v>5482</v>
      </c>
      <c r="C41" s="394" t="s">
        <v>1493</v>
      </c>
      <c r="D41" s="398">
        <v>2000</v>
      </c>
      <c r="E41" s="398">
        <v>0</v>
      </c>
      <c r="F41" s="396"/>
      <c r="G41" s="397"/>
      <c r="H41" s="398">
        <v>2000</v>
      </c>
      <c r="I41" s="398">
        <v>0</v>
      </c>
      <c r="J41" s="396"/>
      <c r="K41" s="397"/>
      <c r="L41" s="398">
        <v>2000</v>
      </c>
      <c r="M41" s="398">
        <v>832.74</v>
      </c>
      <c r="N41" s="396"/>
      <c r="O41" s="397"/>
      <c r="P41" s="398">
        <v>2000</v>
      </c>
      <c r="Q41" s="398">
        <v>562.29</v>
      </c>
      <c r="R41" s="396"/>
      <c r="S41" s="397"/>
      <c r="T41" s="398">
        <v>2000</v>
      </c>
      <c r="U41" s="398">
        <v>0</v>
      </c>
      <c r="V41" s="396"/>
      <c r="W41" s="397"/>
      <c r="X41" s="398">
        <v>1500</v>
      </c>
      <c r="Y41" s="398">
        <v>0</v>
      </c>
      <c r="Z41" s="396">
        <f t="shared" si="8"/>
        <v>-0.25</v>
      </c>
      <c r="AA41" s="397"/>
      <c r="AB41" s="398">
        <v>1500</v>
      </c>
      <c r="AC41" s="398">
        <v>1037.33</v>
      </c>
      <c r="AD41" s="396">
        <f t="shared" si="9"/>
        <v>0</v>
      </c>
      <c r="AE41" s="397"/>
      <c r="AF41" s="398">
        <v>1500</v>
      </c>
      <c r="AG41" s="398">
        <v>1500</v>
      </c>
      <c r="AH41" s="398">
        <v>714.58</v>
      </c>
      <c r="AI41" s="396">
        <f t="shared" si="10"/>
        <v>0</v>
      </c>
      <c r="AJ41" s="396"/>
      <c r="AK41" s="398">
        <v>1500</v>
      </c>
      <c r="AL41" s="398">
        <v>0</v>
      </c>
      <c r="AM41" s="396">
        <f t="shared" si="11"/>
        <v>0</v>
      </c>
      <c r="AN41" s="397"/>
      <c r="AO41" s="163">
        <v>1500</v>
      </c>
      <c r="AP41" s="399">
        <f t="shared" si="12"/>
        <v>0</v>
      </c>
      <c r="AQ41" s="396">
        <f t="shared" si="13"/>
        <v>0</v>
      </c>
      <c r="AR41" s="400"/>
    </row>
    <row r="42" spans="1:44" s="394" customFormat="1" x14ac:dyDescent="0.25">
      <c r="A42" s="394" t="s">
        <v>519</v>
      </c>
      <c r="B42" s="395" t="str">
        <f t="shared" si="14"/>
        <v>5510</v>
      </c>
      <c r="C42" s="394" t="s">
        <v>1603</v>
      </c>
      <c r="D42" s="398">
        <v>400</v>
      </c>
      <c r="E42" s="398">
        <v>242.56</v>
      </c>
      <c r="F42" s="396"/>
      <c r="G42" s="397"/>
      <c r="H42" s="398">
        <v>400</v>
      </c>
      <c r="I42" s="398">
        <v>497.74</v>
      </c>
      <c r="J42" s="396"/>
      <c r="K42" s="397"/>
      <c r="L42" s="398">
        <v>250</v>
      </c>
      <c r="M42" s="398">
        <v>775.34</v>
      </c>
      <c r="N42" s="396"/>
      <c r="O42" s="397"/>
      <c r="P42" s="398">
        <v>250</v>
      </c>
      <c r="Q42" s="398">
        <v>139.47999999999999</v>
      </c>
      <c r="R42" s="396"/>
      <c r="S42" s="397"/>
      <c r="T42" s="398">
        <v>250</v>
      </c>
      <c r="U42" s="398">
        <v>437.89</v>
      </c>
      <c r="V42" s="396"/>
      <c r="W42" s="397"/>
      <c r="X42" s="398">
        <v>250</v>
      </c>
      <c r="Y42" s="398">
        <v>295</v>
      </c>
      <c r="Z42" s="396">
        <f t="shared" si="8"/>
        <v>0</v>
      </c>
      <c r="AA42" s="397"/>
      <c r="AB42" s="398">
        <v>250</v>
      </c>
      <c r="AC42" s="398">
        <v>0</v>
      </c>
      <c r="AD42" s="396">
        <f t="shared" si="9"/>
        <v>0</v>
      </c>
      <c r="AE42" s="397"/>
      <c r="AF42" s="398">
        <v>250</v>
      </c>
      <c r="AG42" s="398">
        <v>250</v>
      </c>
      <c r="AH42" s="398">
        <v>96.85</v>
      </c>
      <c r="AI42" s="396">
        <f t="shared" si="10"/>
        <v>0</v>
      </c>
      <c r="AJ42" s="396"/>
      <c r="AK42" s="398">
        <v>250</v>
      </c>
      <c r="AL42" s="398">
        <v>0</v>
      </c>
      <c r="AM42" s="396">
        <f t="shared" si="11"/>
        <v>0</v>
      </c>
      <c r="AN42" s="397"/>
      <c r="AO42" s="163">
        <v>250</v>
      </c>
      <c r="AP42" s="399">
        <f t="shared" si="12"/>
        <v>0</v>
      </c>
      <c r="AQ42" s="396">
        <f t="shared" si="13"/>
        <v>0</v>
      </c>
      <c r="AR42" s="400"/>
    </row>
    <row r="43" spans="1:44" s="394" customFormat="1" x14ac:dyDescent="0.25">
      <c r="A43" s="394" t="s">
        <v>520</v>
      </c>
      <c r="B43" s="395" t="str">
        <f t="shared" si="14"/>
        <v>5583</v>
      </c>
      <c r="C43" s="394" t="s">
        <v>1476</v>
      </c>
      <c r="D43" s="398">
        <v>0</v>
      </c>
      <c r="E43" s="398">
        <v>92.12</v>
      </c>
      <c r="F43" s="396"/>
      <c r="G43" s="397"/>
      <c r="H43" s="398">
        <v>0</v>
      </c>
      <c r="I43" s="398">
        <v>432.98</v>
      </c>
      <c r="J43" s="396"/>
      <c r="K43" s="397"/>
      <c r="L43" s="398">
        <v>0</v>
      </c>
      <c r="M43" s="398">
        <v>2830.11</v>
      </c>
      <c r="N43" s="396"/>
      <c r="O43" s="397"/>
      <c r="P43" s="398">
        <v>0</v>
      </c>
      <c r="Q43" s="398">
        <v>82.48</v>
      </c>
      <c r="R43" s="396"/>
      <c r="S43" s="397"/>
      <c r="T43" s="398">
        <v>0</v>
      </c>
      <c r="U43" s="398">
        <v>3.96</v>
      </c>
      <c r="V43" s="396"/>
      <c r="W43" s="397"/>
      <c r="X43" s="398">
        <v>0</v>
      </c>
      <c r="Y43" s="398">
        <v>19.940000000000001</v>
      </c>
      <c r="Z43" s="396" t="e">
        <f t="shared" si="8"/>
        <v>#DIV/0!</v>
      </c>
      <c r="AA43" s="397"/>
      <c r="AB43" s="398">
        <v>3500</v>
      </c>
      <c r="AC43" s="398">
        <v>3246.83</v>
      </c>
      <c r="AD43" s="396" t="e">
        <f t="shared" si="9"/>
        <v>#DIV/0!</v>
      </c>
      <c r="AE43" s="397"/>
      <c r="AF43" s="398">
        <v>3500</v>
      </c>
      <c r="AG43" s="398">
        <v>3500</v>
      </c>
      <c r="AH43" s="398">
        <v>3240.19</v>
      </c>
      <c r="AI43" s="396">
        <f t="shared" si="10"/>
        <v>0</v>
      </c>
      <c r="AJ43" s="396"/>
      <c r="AK43" s="398">
        <v>4250</v>
      </c>
      <c r="AL43" s="398">
        <v>4250</v>
      </c>
      <c r="AM43" s="396">
        <f t="shared" si="11"/>
        <v>0.21428571428571427</v>
      </c>
      <c r="AN43" s="397"/>
      <c r="AO43" s="163">
        <v>5225</v>
      </c>
      <c r="AP43" s="399">
        <f t="shared" si="12"/>
        <v>975</v>
      </c>
      <c r="AQ43" s="396">
        <f t="shared" si="13"/>
        <v>0.22941176470588234</v>
      </c>
      <c r="AR43" s="400" t="s">
        <v>1378</v>
      </c>
    </row>
    <row r="44" spans="1:44" s="211" customFormat="1" x14ac:dyDescent="0.25">
      <c r="A44" s="211" t="s">
        <v>521</v>
      </c>
      <c r="B44" s="214" t="str">
        <f t="shared" si="14"/>
        <v>5585</v>
      </c>
      <c r="C44" s="211" t="s">
        <v>1684</v>
      </c>
      <c r="D44" s="245">
        <v>4500</v>
      </c>
      <c r="E44" s="245">
        <v>4172</v>
      </c>
      <c r="F44" s="216"/>
      <c r="G44" s="213"/>
      <c r="H44" s="245">
        <v>4500</v>
      </c>
      <c r="I44" s="245">
        <v>3193.91</v>
      </c>
      <c r="J44" s="216"/>
      <c r="K44" s="213"/>
      <c r="L44" s="245">
        <v>4500</v>
      </c>
      <c r="M44" s="245">
        <v>5347.27</v>
      </c>
      <c r="N44" s="396"/>
      <c r="O44" s="213"/>
      <c r="P44" s="245">
        <v>4800</v>
      </c>
      <c r="Q44" s="245">
        <v>8094.4</v>
      </c>
      <c r="R44" s="396"/>
      <c r="S44" s="213"/>
      <c r="T44" s="245">
        <v>5100</v>
      </c>
      <c r="U44" s="245">
        <v>3907.68</v>
      </c>
      <c r="V44" s="396"/>
      <c r="W44" s="213"/>
      <c r="X44" s="245">
        <v>5000</v>
      </c>
      <c r="Y44" s="245">
        <v>4985.8999999999996</v>
      </c>
      <c r="Z44" s="396">
        <f t="shared" si="8"/>
        <v>-1.9607843137254902E-2</v>
      </c>
      <c r="AA44" s="213"/>
      <c r="AB44" s="245">
        <v>5200</v>
      </c>
      <c r="AC44" s="245">
        <v>3140.82</v>
      </c>
      <c r="AD44" s="396">
        <f t="shared" si="9"/>
        <v>0.04</v>
      </c>
      <c r="AE44" s="213"/>
      <c r="AF44" s="245">
        <v>5200</v>
      </c>
      <c r="AG44" s="245">
        <v>5200</v>
      </c>
      <c r="AH44" s="245">
        <v>5318.1</v>
      </c>
      <c r="AI44" s="396">
        <f t="shared" si="10"/>
        <v>0</v>
      </c>
      <c r="AJ44" s="216"/>
      <c r="AK44" s="398">
        <v>5200</v>
      </c>
      <c r="AL44" s="398">
        <v>463.76</v>
      </c>
      <c r="AM44" s="396">
        <f t="shared" si="11"/>
        <v>0</v>
      </c>
      <c r="AN44" s="397"/>
      <c r="AO44" s="163">
        <v>5200</v>
      </c>
      <c r="AP44" s="399">
        <f t="shared" si="12"/>
        <v>0</v>
      </c>
      <c r="AQ44" s="396">
        <f t="shared" si="13"/>
        <v>0</v>
      </c>
      <c r="AR44" s="288"/>
    </row>
    <row r="45" spans="1:44" s="211" customFormat="1" x14ac:dyDescent="0.25">
      <c r="A45" s="211" t="s">
        <v>522</v>
      </c>
      <c r="B45" s="214" t="str">
        <f t="shared" si="14"/>
        <v>5589</v>
      </c>
      <c r="C45" s="211" t="s">
        <v>1604</v>
      </c>
      <c r="D45" s="245">
        <v>350</v>
      </c>
      <c r="E45" s="245">
        <v>90.22</v>
      </c>
      <c r="F45" s="216"/>
      <c r="G45" s="213"/>
      <c r="H45" s="245">
        <v>350</v>
      </c>
      <c r="I45" s="245">
        <v>105.51</v>
      </c>
      <c r="J45" s="216"/>
      <c r="K45" s="213"/>
      <c r="L45" s="245">
        <v>350</v>
      </c>
      <c r="M45" s="245">
        <v>259.37</v>
      </c>
      <c r="N45" s="396"/>
      <c r="O45" s="213"/>
      <c r="P45" s="245">
        <v>350</v>
      </c>
      <c r="Q45" s="245">
        <v>152.87</v>
      </c>
      <c r="R45" s="396"/>
      <c r="S45" s="213"/>
      <c r="T45" s="245">
        <v>350</v>
      </c>
      <c r="U45" s="245">
        <v>746.44</v>
      </c>
      <c r="V45" s="396"/>
      <c r="W45" s="213"/>
      <c r="X45" s="245">
        <v>350</v>
      </c>
      <c r="Y45" s="245">
        <v>0</v>
      </c>
      <c r="Z45" s="396">
        <f t="shared" si="8"/>
        <v>0</v>
      </c>
      <c r="AA45" s="213"/>
      <c r="AB45" s="245">
        <v>350</v>
      </c>
      <c r="AC45" s="245">
        <v>935</v>
      </c>
      <c r="AD45" s="396">
        <f t="shared" si="9"/>
        <v>0</v>
      </c>
      <c r="AE45" s="213"/>
      <c r="AF45" s="245">
        <v>350</v>
      </c>
      <c r="AG45" s="245">
        <v>350</v>
      </c>
      <c r="AH45" s="245">
        <v>362.78</v>
      </c>
      <c r="AI45" s="396">
        <f t="shared" si="10"/>
        <v>0</v>
      </c>
      <c r="AJ45" s="216"/>
      <c r="AK45" s="398">
        <v>350</v>
      </c>
      <c r="AL45" s="398">
        <v>252.85</v>
      </c>
      <c r="AM45" s="396">
        <f t="shared" si="11"/>
        <v>0</v>
      </c>
      <c r="AN45" s="397"/>
      <c r="AO45" s="163">
        <v>350</v>
      </c>
      <c r="AP45" s="399">
        <f t="shared" si="12"/>
        <v>0</v>
      </c>
      <c r="AQ45" s="396">
        <f t="shared" si="13"/>
        <v>0</v>
      </c>
      <c r="AR45" s="288"/>
    </row>
    <row r="46" spans="1:44" s="211" customFormat="1" x14ac:dyDescent="0.25">
      <c r="A46" s="211" t="s">
        <v>523</v>
      </c>
      <c r="B46" s="214" t="str">
        <f t="shared" si="14"/>
        <v>5590</v>
      </c>
      <c r="C46" s="211" t="s">
        <v>1685</v>
      </c>
      <c r="D46" s="245">
        <v>1400</v>
      </c>
      <c r="E46" s="245">
        <v>1449</v>
      </c>
      <c r="F46" s="216"/>
      <c r="G46" s="213"/>
      <c r="H46" s="245">
        <v>1400</v>
      </c>
      <c r="I46" s="245">
        <v>1289.7</v>
      </c>
      <c r="J46" s="216"/>
      <c r="K46" s="213"/>
      <c r="L46" s="245">
        <v>1550</v>
      </c>
      <c r="M46" s="245">
        <v>2509</v>
      </c>
      <c r="N46" s="396"/>
      <c r="O46" s="213"/>
      <c r="P46" s="245">
        <v>1650</v>
      </c>
      <c r="Q46" s="245">
        <v>1670</v>
      </c>
      <c r="R46" s="396"/>
      <c r="S46" s="213"/>
      <c r="T46" s="245">
        <v>1700</v>
      </c>
      <c r="U46" s="245">
        <v>1580.9</v>
      </c>
      <c r="V46" s="396"/>
      <c r="W46" s="213"/>
      <c r="X46" s="245">
        <v>1700</v>
      </c>
      <c r="Y46" s="245">
        <v>1708</v>
      </c>
      <c r="Z46" s="396">
        <f t="shared" si="8"/>
        <v>0</v>
      </c>
      <c r="AA46" s="213"/>
      <c r="AB46" s="245">
        <v>1700</v>
      </c>
      <c r="AC46" s="245">
        <v>1671</v>
      </c>
      <c r="AD46" s="396">
        <f t="shared" si="9"/>
        <v>0</v>
      </c>
      <c r="AE46" s="213"/>
      <c r="AF46" s="245">
        <v>1700</v>
      </c>
      <c r="AG46" s="245">
        <v>1700</v>
      </c>
      <c r="AH46" s="245">
        <v>1761.9</v>
      </c>
      <c r="AI46" s="396">
        <f t="shared" si="10"/>
        <v>0</v>
      </c>
      <c r="AJ46" s="216"/>
      <c r="AK46" s="398">
        <v>1700</v>
      </c>
      <c r="AL46" s="398">
        <v>768</v>
      </c>
      <c r="AM46" s="396">
        <f t="shared" si="11"/>
        <v>0</v>
      </c>
      <c r="AN46" s="397"/>
      <c r="AO46" s="163">
        <v>1700</v>
      </c>
      <c r="AP46" s="399">
        <f t="shared" si="12"/>
        <v>0</v>
      </c>
      <c r="AQ46" s="396">
        <f t="shared" si="13"/>
        <v>0</v>
      </c>
      <c r="AR46" s="288"/>
    </row>
    <row r="47" spans="1:44" s="211" customFormat="1" x14ac:dyDescent="0.25">
      <c r="A47" s="211" t="s">
        <v>524</v>
      </c>
      <c r="B47" s="214" t="str">
        <f t="shared" si="14"/>
        <v>5595</v>
      </c>
      <c r="C47" s="211" t="s">
        <v>1654</v>
      </c>
      <c r="D47" s="245">
        <v>0</v>
      </c>
      <c r="E47" s="245">
        <v>0</v>
      </c>
      <c r="F47" s="216"/>
      <c r="G47" s="213"/>
      <c r="H47" s="245">
        <v>0</v>
      </c>
      <c r="I47" s="245">
        <v>294.60000000000002</v>
      </c>
      <c r="J47" s="216"/>
      <c r="K47" s="213"/>
      <c r="L47" s="245">
        <v>300</v>
      </c>
      <c r="M47" s="245">
        <v>278.60000000000002</v>
      </c>
      <c r="N47" s="396"/>
      <c r="O47" s="213"/>
      <c r="P47" s="245">
        <v>300</v>
      </c>
      <c r="Q47" s="245">
        <v>333.25</v>
      </c>
      <c r="R47" s="396"/>
      <c r="S47" s="213"/>
      <c r="T47" s="245">
        <v>300</v>
      </c>
      <c r="U47" s="245">
        <v>310.5</v>
      </c>
      <c r="V47" s="396"/>
      <c r="W47" s="213"/>
      <c r="X47" s="245">
        <v>300</v>
      </c>
      <c r="Y47" s="245">
        <v>376.5</v>
      </c>
      <c r="Z47" s="396">
        <f t="shared" si="8"/>
        <v>0</v>
      </c>
      <c r="AA47" s="213"/>
      <c r="AB47" s="245">
        <v>300</v>
      </c>
      <c r="AC47" s="245">
        <v>412.5</v>
      </c>
      <c r="AD47" s="396">
        <f t="shared" si="9"/>
        <v>0</v>
      </c>
      <c r="AE47" s="213"/>
      <c r="AF47" s="245">
        <v>400</v>
      </c>
      <c r="AG47" s="245">
        <v>400</v>
      </c>
      <c r="AH47" s="245">
        <v>515</v>
      </c>
      <c r="AI47" s="396">
        <f t="shared" si="10"/>
        <v>0.33333333333333331</v>
      </c>
      <c r="AJ47" s="216"/>
      <c r="AK47" s="398">
        <v>400</v>
      </c>
      <c r="AL47" s="398">
        <v>244.25</v>
      </c>
      <c r="AM47" s="396">
        <f t="shared" si="11"/>
        <v>0</v>
      </c>
      <c r="AN47" s="397"/>
      <c r="AO47" s="163">
        <v>500</v>
      </c>
      <c r="AP47" s="399">
        <f t="shared" si="12"/>
        <v>100</v>
      </c>
      <c r="AQ47" s="396">
        <f t="shared" si="13"/>
        <v>0.25</v>
      </c>
      <c r="AR47" s="288"/>
    </row>
    <row r="48" spans="1:44" x14ac:dyDescent="0.25">
      <c r="A48" s="119" t="s">
        <v>891</v>
      </c>
      <c r="B48" s="119" t="str">
        <f t="shared" si="14"/>
        <v>5710</v>
      </c>
      <c r="C48" s="161" t="s">
        <v>1605</v>
      </c>
      <c r="D48" s="245">
        <v>0</v>
      </c>
      <c r="E48" s="245">
        <v>0</v>
      </c>
      <c r="F48" s="216"/>
      <c r="H48" s="245">
        <v>0</v>
      </c>
      <c r="I48" s="245">
        <v>733.47</v>
      </c>
      <c r="J48" s="216"/>
      <c r="L48" s="245">
        <v>3908.37</v>
      </c>
      <c r="M48" s="245">
        <v>905.05</v>
      </c>
      <c r="N48" s="396"/>
      <c r="P48" s="245">
        <v>4783.84</v>
      </c>
      <c r="Q48" s="245">
        <v>245.25</v>
      </c>
      <c r="R48" s="396"/>
      <c r="T48" s="245">
        <v>1400</v>
      </c>
      <c r="U48" s="245">
        <v>453.75</v>
      </c>
      <c r="V48" s="396"/>
      <c r="W48" s="213"/>
      <c r="X48" s="245">
        <v>1400</v>
      </c>
      <c r="Y48" s="245">
        <v>871.5</v>
      </c>
      <c r="Z48" s="396">
        <f t="shared" si="8"/>
        <v>0</v>
      </c>
      <c r="AA48" s="213"/>
      <c r="AB48" s="245">
        <v>1400</v>
      </c>
      <c r="AC48" s="245">
        <v>808.23</v>
      </c>
      <c r="AD48" s="396">
        <f t="shared" si="9"/>
        <v>0</v>
      </c>
      <c r="AF48" s="245">
        <v>1400</v>
      </c>
      <c r="AG48" s="245">
        <v>1400</v>
      </c>
      <c r="AH48" s="245">
        <v>2548.39</v>
      </c>
      <c r="AI48" s="396">
        <f t="shared" si="10"/>
        <v>0</v>
      </c>
      <c r="AJ48" s="80"/>
      <c r="AK48" s="398">
        <v>5000</v>
      </c>
      <c r="AL48" s="398">
        <v>2616.63</v>
      </c>
      <c r="AM48" s="396">
        <f t="shared" si="11"/>
        <v>2.5714285714285716</v>
      </c>
      <c r="AO48" s="163">
        <v>4000</v>
      </c>
      <c r="AP48" s="399">
        <f t="shared" si="12"/>
        <v>-1000</v>
      </c>
      <c r="AQ48" s="396">
        <f t="shared" si="13"/>
        <v>-0.2</v>
      </c>
      <c r="AR48" s="166"/>
    </row>
    <row r="49" spans="1:54" x14ac:dyDescent="0.25">
      <c r="A49" s="161" t="s">
        <v>525</v>
      </c>
      <c r="B49" s="119" t="str">
        <f t="shared" si="14"/>
        <v>5730</v>
      </c>
      <c r="C49" s="161" t="s">
        <v>1594</v>
      </c>
      <c r="D49" s="245">
        <v>1000</v>
      </c>
      <c r="E49" s="245">
        <v>1076</v>
      </c>
      <c r="F49" s="216"/>
      <c r="H49" s="245">
        <v>1250</v>
      </c>
      <c r="I49" s="245">
        <v>1076</v>
      </c>
      <c r="J49" s="216"/>
      <c r="L49" s="245">
        <v>1250</v>
      </c>
      <c r="M49" s="245">
        <v>1246</v>
      </c>
      <c r="N49" s="396"/>
      <c r="P49" s="245">
        <v>1400</v>
      </c>
      <c r="Q49" s="245">
        <v>1246</v>
      </c>
      <c r="R49" s="396"/>
      <c r="T49" s="245">
        <v>1500</v>
      </c>
      <c r="U49" s="245">
        <v>1276</v>
      </c>
      <c r="V49" s="396"/>
      <c r="W49" s="213"/>
      <c r="X49" s="245">
        <v>1500</v>
      </c>
      <c r="Y49" s="245">
        <v>1280</v>
      </c>
      <c r="Z49" s="396">
        <f t="shared" si="8"/>
        <v>0</v>
      </c>
      <c r="AA49" s="213"/>
      <c r="AB49" s="245">
        <v>1500</v>
      </c>
      <c r="AC49" s="245">
        <v>1031</v>
      </c>
      <c r="AD49" s="396">
        <f t="shared" si="9"/>
        <v>0</v>
      </c>
      <c r="AF49" s="245">
        <v>1500</v>
      </c>
      <c r="AG49" s="245">
        <v>1500</v>
      </c>
      <c r="AH49" s="245">
        <v>1650</v>
      </c>
      <c r="AI49" s="396">
        <f t="shared" si="10"/>
        <v>0</v>
      </c>
      <c r="AJ49" s="80"/>
      <c r="AK49" s="398">
        <v>2150</v>
      </c>
      <c r="AL49" s="398">
        <v>975</v>
      </c>
      <c r="AM49" s="396">
        <f t="shared" si="11"/>
        <v>0.43333333333333335</v>
      </c>
      <c r="AO49" s="163">
        <f>1500+650</f>
        <v>2150</v>
      </c>
      <c r="AP49" s="399">
        <f t="shared" si="12"/>
        <v>0</v>
      </c>
      <c r="AQ49" s="396">
        <f t="shared" si="13"/>
        <v>0</v>
      </c>
      <c r="AR49" s="166"/>
    </row>
    <row r="50" spans="1:54" hidden="1" x14ac:dyDescent="0.25">
      <c r="A50" s="161" t="s">
        <v>526</v>
      </c>
      <c r="B50" s="119" t="str">
        <f t="shared" si="14"/>
        <v>5850</v>
      </c>
      <c r="C50" s="161" t="s">
        <v>1674</v>
      </c>
      <c r="D50" s="245">
        <v>0</v>
      </c>
      <c r="E50" s="245">
        <v>0</v>
      </c>
      <c r="F50" s="216"/>
      <c r="H50" s="245">
        <v>0</v>
      </c>
      <c r="I50" s="245">
        <v>1270.1099999999999</v>
      </c>
      <c r="J50" s="216"/>
      <c r="L50" s="245">
        <v>0</v>
      </c>
      <c r="M50" s="245">
        <v>0</v>
      </c>
      <c r="N50" s="396"/>
      <c r="P50" s="245">
        <v>0</v>
      </c>
      <c r="Q50" s="245">
        <v>0</v>
      </c>
      <c r="R50" s="396"/>
      <c r="T50" s="245">
        <v>0</v>
      </c>
      <c r="U50" s="245">
        <v>575</v>
      </c>
      <c r="V50" s="396"/>
      <c r="W50" s="213"/>
      <c r="X50" s="245">
        <v>0</v>
      </c>
      <c r="Y50" s="245">
        <v>5.5</v>
      </c>
      <c r="Z50" s="396"/>
      <c r="AA50" s="213"/>
      <c r="AB50" s="245">
        <v>0</v>
      </c>
      <c r="AC50" s="245">
        <v>0</v>
      </c>
      <c r="AD50" s="396"/>
      <c r="AF50" s="245">
        <v>0</v>
      </c>
      <c r="AG50" s="245">
        <v>0</v>
      </c>
      <c r="AH50" s="245"/>
      <c r="AI50" s="396"/>
      <c r="AJ50" s="80"/>
      <c r="AK50" s="398">
        <v>0</v>
      </c>
      <c r="AL50" s="398"/>
      <c r="AM50" s="396"/>
      <c r="AO50" s="163">
        <v>0</v>
      </c>
      <c r="AP50" s="399">
        <f t="shared" si="12"/>
        <v>0</v>
      </c>
      <c r="AQ50" s="396"/>
      <c r="AR50" s="166"/>
    </row>
    <row r="51" spans="1:54" x14ac:dyDescent="0.25">
      <c r="A51" s="161" t="s">
        <v>527</v>
      </c>
      <c r="B51" s="119" t="str">
        <f>MID(A51,14,4)</f>
        <v>5870</v>
      </c>
      <c r="C51" s="161" t="s">
        <v>1675</v>
      </c>
      <c r="D51" s="245">
        <v>1500</v>
      </c>
      <c r="E51" s="245">
        <v>2219.96</v>
      </c>
      <c r="F51" s="216"/>
      <c r="H51" s="245">
        <v>1500</v>
      </c>
      <c r="I51" s="245">
        <v>2152.0100000000002</v>
      </c>
      <c r="J51" s="216"/>
      <c r="L51" s="245">
        <v>1500</v>
      </c>
      <c r="M51" s="245">
        <v>0</v>
      </c>
      <c r="N51" s="396"/>
      <c r="P51" s="245">
        <v>1500</v>
      </c>
      <c r="Q51" s="245">
        <v>540.46</v>
      </c>
      <c r="R51" s="396"/>
      <c r="T51" s="245">
        <v>0</v>
      </c>
      <c r="U51" s="245">
        <v>195.58</v>
      </c>
      <c r="V51" s="396"/>
      <c r="W51" s="213"/>
      <c r="X51" s="245">
        <v>0</v>
      </c>
      <c r="Y51" s="245">
        <v>344.73</v>
      </c>
      <c r="Z51" s="396"/>
      <c r="AA51" s="213"/>
      <c r="AB51" s="245">
        <v>0</v>
      </c>
      <c r="AC51" s="245">
        <v>4281</v>
      </c>
      <c r="AD51" s="396"/>
      <c r="AF51" s="245">
        <v>0</v>
      </c>
      <c r="AG51" s="245">
        <v>0</v>
      </c>
      <c r="AH51" s="245"/>
      <c r="AI51" s="396"/>
      <c r="AJ51" s="80"/>
      <c r="AK51" s="398">
        <v>0</v>
      </c>
      <c r="AL51" s="398"/>
      <c r="AM51" s="396"/>
      <c r="AO51" s="163">
        <v>0</v>
      </c>
      <c r="AP51" s="399">
        <f>AO51-AK51</f>
        <v>0</v>
      </c>
      <c r="AQ51" s="396"/>
      <c r="AR51" s="288"/>
    </row>
    <row r="52" spans="1:54" s="114" customFormat="1" x14ac:dyDescent="0.25">
      <c r="A52" s="219"/>
      <c r="B52" s="219"/>
      <c r="C52" s="219" t="s">
        <v>279</v>
      </c>
      <c r="D52" s="220">
        <f>SUM(D24:D51)</f>
        <v>73150</v>
      </c>
      <c r="E52" s="220">
        <f>SUM(E24:E51)</f>
        <v>68436.420000000027</v>
      </c>
      <c r="F52" s="221">
        <v>2.6700000000000002E-2</v>
      </c>
      <c r="G52" s="219"/>
      <c r="H52" s="220">
        <f>SUM(H24:H51)</f>
        <v>77308</v>
      </c>
      <c r="I52" s="220">
        <f>SUM(I24:I51)</f>
        <v>67178.12</v>
      </c>
      <c r="J52" s="221">
        <f>(H52-D52)/D52</f>
        <v>5.6842105263157895E-2</v>
      </c>
      <c r="K52" s="219"/>
      <c r="L52" s="220">
        <f>SUM(L24:L51)</f>
        <v>79369.959999999992</v>
      </c>
      <c r="M52" s="220">
        <f>SUM(M24:M51)</f>
        <v>80619.94</v>
      </c>
      <c r="N52" s="221">
        <f>(L52-H52)/H52</f>
        <v>2.6672013245718319E-2</v>
      </c>
      <c r="O52" s="219"/>
      <c r="P52" s="220">
        <f>SUM(P24:P51)</f>
        <v>84095.43</v>
      </c>
      <c r="Q52" s="220">
        <f>SUM(Q24:Q51)</f>
        <v>77101.8</v>
      </c>
      <c r="R52" s="221">
        <f>(P52-L52)/L52</f>
        <v>5.9537260696616225E-2</v>
      </c>
      <c r="S52" s="219"/>
      <c r="T52" s="220">
        <f>SUM(T24:T51)</f>
        <v>82825.98</v>
      </c>
      <c r="U52" s="220">
        <f>SUM(U24:U51)</f>
        <v>79245.02</v>
      </c>
      <c r="V52" s="221">
        <f>(T52-P52)/P52</f>
        <v>-1.509535060347509E-2</v>
      </c>
      <c r="W52" s="219"/>
      <c r="X52" s="220">
        <f>SUM(X24:X51)</f>
        <v>87578</v>
      </c>
      <c r="Y52" s="220">
        <f>SUM(Y24:Y51)</f>
        <v>84370.180000000008</v>
      </c>
      <c r="Z52" s="221">
        <f>(X52-T52)/T52</f>
        <v>5.737354390494389E-2</v>
      </c>
      <c r="AA52" s="219"/>
      <c r="AB52" s="220">
        <f>SUM(AB24:AB51)</f>
        <v>91678</v>
      </c>
      <c r="AC52" s="220">
        <f>SUM(AC24:AC51)</f>
        <v>79090.77</v>
      </c>
      <c r="AD52" s="221">
        <f>(AB52-X52)/X52</f>
        <v>4.6815410262851402E-2</v>
      </c>
      <c r="AE52" s="219"/>
      <c r="AF52" s="220">
        <f>SUM(AF24:AF51)</f>
        <v>94796.36</v>
      </c>
      <c r="AG52" s="220">
        <f>SUM(AG24:AG51)</f>
        <v>98796.36</v>
      </c>
      <c r="AH52" s="220">
        <f>SUM(AH24:AH51)</f>
        <v>84218.16</v>
      </c>
      <c r="AI52" s="221">
        <f>(AG52-AB52)/AB52</f>
        <v>7.7645236588930827E-2</v>
      </c>
      <c r="AJ52" s="221"/>
      <c r="AK52" s="401">
        <f>SUM(AK24:AK51)</f>
        <v>96774.040000000008</v>
      </c>
      <c r="AL52" s="401">
        <f>SUM(AL24:AL51)</f>
        <v>58133.58</v>
      </c>
      <c r="AM52" s="221">
        <f>(AK52-AG52)/AG52</f>
        <v>-2.0469580053354117E-2</v>
      </c>
      <c r="AN52" s="219"/>
      <c r="AO52" s="223">
        <f>SUM(AO24:AO51)</f>
        <v>98849.040000000008</v>
      </c>
      <c r="AP52" s="220">
        <f>SUM(AP24:AP51)</f>
        <v>2075</v>
      </c>
      <c r="AQ52" s="221">
        <f>(AO52-AK52)/AK52</f>
        <v>2.1441700687498424E-2</v>
      </c>
      <c r="AR52" s="219"/>
    </row>
    <row r="53" spans="1:54" s="211" customFormat="1" x14ac:dyDescent="0.25">
      <c r="D53" s="112"/>
      <c r="E53" s="112"/>
      <c r="F53" s="216"/>
      <c r="G53" s="213"/>
      <c r="H53" s="112"/>
      <c r="I53" s="112"/>
      <c r="J53" s="396"/>
      <c r="K53" s="213"/>
      <c r="L53" s="112"/>
      <c r="M53" s="112"/>
      <c r="N53" s="396"/>
      <c r="O53" s="213"/>
      <c r="P53" s="112"/>
      <c r="Q53" s="112"/>
      <c r="R53" s="396"/>
      <c r="S53" s="213"/>
      <c r="T53" s="112"/>
      <c r="U53" s="112"/>
      <c r="V53" s="396"/>
      <c r="W53" s="213"/>
      <c r="X53" s="112"/>
      <c r="Y53" s="112"/>
      <c r="Z53" s="396"/>
      <c r="AA53" s="213"/>
      <c r="AB53" s="112"/>
      <c r="AC53" s="112"/>
      <c r="AD53" s="396"/>
      <c r="AE53" s="213"/>
      <c r="AF53" s="112"/>
      <c r="AG53" s="112"/>
      <c r="AH53" s="112"/>
      <c r="AI53" s="396"/>
      <c r="AJ53" s="216"/>
      <c r="AK53" s="112"/>
      <c r="AL53" s="112"/>
      <c r="AM53" s="396"/>
      <c r="AN53" s="397"/>
      <c r="AO53" s="212"/>
      <c r="AP53" s="212"/>
      <c r="AQ53" s="396"/>
    </row>
    <row r="54" spans="1:54" s="114" customFormat="1" ht="12.75" x14ac:dyDescent="0.2">
      <c r="A54" s="228"/>
      <c r="B54" s="228"/>
      <c r="C54" s="229" t="s">
        <v>280</v>
      </c>
      <c r="D54" s="230">
        <f>D21+D52</f>
        <v>524699.28</v>
      </c>
      <c r="E54" s="230">
        <f>E21+E52</f>
        <v>498607.99</v>
      </c>
      <c r="F54" s="231">
        <v>7.2700000000000001E-2</v>
      </c>
      <c r="G54" s="228"/>
      <c r="H54" s="230">
        <f>H21+H52</f>
        <v>557859</v>
      </c>
      <c r="I54" s="230">
        <f>I21+I52</f>
        <v>528674.16000000015</v>
      </c>
      <c r="J54" s="231">
        <f>(H54-D54)/D54</f>
        <v>6.3197570997238592E-2</v>
      </c>
      <c r="K54" s="228"/>
      <c r="L54" s="230">
        <f>L21+L52</f>
        <v>598405.12</v>
      </c>
      <c r="M54" s="230">
        <f>M21+M52</f>
        <v>554415.21</v>
      </c>
      <c r="N54" s="231">
        <f>(L54-H54)/H54</f>
        <v>7.2681663287676626E-2</v>
      </c>
      <c r="O54" s="228"/>
      <c r="P54" s="230">
        <f>P21+P52</f>
        <v>627934.02</v>
      </c>
      <c r="Q54" s="230">
        <f>Q21+Q52</f>
        <v>608356.04</v>
      </c>
      <c r="R54" s="231">
        <f>(P54-L54)/L54</f>
        <v>4.9346001585013219E-2</v>
      </c>
      <c r="S54" s="228"/>
      <c r="T54" s="230">
        <f>T21+T52</f>
        <v>648070.04999999993</v>
      </c>
      <c r="U54" s="230">
        <f>U21+U52</f>
        <v>611695.54</v>
      </c>
      <c r="V54" s="231">
        <f>(T54-P54)/P54</f>
        <v>3.2067111127375945E-2</v>
      </c>
      <c r="W54" s="228"/>
      <c r="X54" s="230">
        <f>X21+X52</f>
        <v>658942.34000000008</v>
      </c>
      <c r="Y54" s="230">
        <f>Y21+Y52</f>
        <v>651912.36</v>
      </c>
      <c r="Z54" s="231">
        <f>(X54-T54)/T54</f>
        <v>1.6776411747464883E-2</v>
      </c>
      <c r="AA54" s="228"/>
      <c r="AB54" s="230">
        <f>AB21+AB52</f>
        <v>675518.3899999999</v>
      </c>
      <c r="AC54" s="230">
        <f>AC21+AC52</f>
        <v>648056.02</v>
      </c>
      <c r="AD54" s="231">
        <f>(AB54-X54)/X54</f>
        <v>2.515553940576927E-2</v>
      </c>
      <c r="AE54" s="228"/>
      <c r="AF54" s="230">
        <f>AF21+AF52</f>
        <v>707109.90999999992</v>
      </c>
      <c r="AG54" s="230">
        <f>AG21+AG52</f>
        <v>714293.06</v>
      </c>
      <c r="AH54" s="230">
        <f>AH21+AH52</f>
        <v>669520.52</v>
      </c>
      <c r="AI54" s="231">
        <f>(AG54-AB54)/AB54</f>
        <v>5.7399873303227412E-2</v>
      </c>
      <c r="AJ54" s="231"/>
      <c r="AK54" s="402">
        <f>AK21+AK52</f>
        <v>732510.36</v>
      </c>
      <c r="AL54" s="402">
        <f>AL21+AL52</f>
        <v>358880.00000000006</v>
      </c>
      <c r="AM54" s="231">
        <f>(AK54-AG54)/AG54</f>
        <v>2.5503957717298735E-2</v>
      </c>
      <c r="AN54" s="228"/>
      <c r="AO54" s="232">
        <f>AO21+AO52</f>
        <v>806071.03910000005</v>
      </c>
      <c r="AP54" s="230">
        <f>AP21+AP52</f>
        <v>73560.679100000023</v>
      </c>
      <c r="AQ54" s="231">
        <f>(AO54-AK54)/AK54</f>
        <v>0.10042271497702786</v>
      </c>
      <c r="AR54" s="233"/>
    </row>
    <row r="55" spans="1:54" x14ac:dyDescent="0.25">
      <c r="D55" s="120"/>
      <c r="H55" s="120"/>
      <c r="L55" s="120"/>
      <c r="P55" s="120"/>
      <c r="T55" s="120"/>
      <c r="X55" s="120"/>
      <c r="AB55" s="120"/>
      <c r="AF55" s="120"/>
      <c r="AG55" s="120"/>
      <c r="AK55" s="403"/>
    </row>
    <row r="56" spans="1:54" ht="14.25" thickBot="1" x14ac:dyDescent="0.3">
      <c r="C56" s="111" t="s">
        <v>281</v>
      </c>
      <c r="D56" s="122"/>
      <c r="E56" s="121">
        <f>D54-E54</f>
        <v>26091.290000000037</v>
      </c>
      <c r="H56" s="122"/>
      <c r="I56" s="121">
        <f>H54-I54</f>
        <v>29184.839999999851</v>
      </c>
      <c r="L56" s="122"/>
      <c r="M56" s="121">
        <f>L54-M54</f>
        <v>43989.910000000033</v>
      </c>
      <c r="P56" s="122"/>
      <c r="Q56" s="121">
        <f>P54-Q54</f>
        <v>19577.979999999981</v>
      </c>
      <c r="T56" s="122"/>
      <c r="U56" s="121">
        <f>T54-U54</f>
        <v>36374.509999999893</v>
      </c>
      <c r="X56" s="122"/>
      <c r="Y56" s="121">
        <f>X54-Y54</f>
        <v>7029.9800000000978</v>
      </c>
      <c r="AB56" s="122"/>
      <c r="AC56" s="121">
        <f>AB54-AC54</f>
        <v>27462.369999999879</v>
      </c>
      <c r="AF56" s="122"/>
      <c r="AG56" s="122"/>
      <c r="AH56" s="121">
        <f>AG54-AH54</f>
        <v>44772.540000000037</v>
      </c>
      <c r="AK56" s="122"/>
      <c r="AL56" s="121">
        <f>AK54-AL54</f>
        <v>373630.35999999993</v>
      </c>
      <c r="AR56" s="122"/>
    </row>
    <row r="57" spans="1:54" s="394" customFormat="1" ht="14.25" thickTop="1" x14ac:dyDescent="0.25">
      <c r="C57" s="111"/>
      <c r="D57" s="122"/>
      <c r="E57" s="152"/>
      <c r="G57" s="397"/>
      <c r="H57" s="122"/>
      <c r="I57" s="152"/>
      <c r="K57" s="397"/>
      <c r="L57" s="122"/>
      <c r="M57" s="152"/>
      <c r="O57" s="397"/>
      <c r="P57" s="122"/>
      <c r="Q57" s="152"/>
      <c r="S57" s="397"/>
      <c r="T57" s="122"/>
      <c r="U57" s="152"/>
      <c r="W57" s="397"/>
      <c r="X57" s="122"/>
      <c r="Y57" s="152"/>
      <c r="AA57" s="397"/>
      <c r="AB57" s="122"/>
      <c r="AC57" s="152"/>
      <c r="AE57" s="397"/>
      <c r="AF57" s="122"/>
      <c r="AG57" s="122"/>
      <c r="AH57" s="152"/>
      <c r="AK57" s="122"/>
      <c r="AL57" s="152"/>
      <c r="AN57" s="397"/>
      <c r="AO57" s="399"/>
      <c r="AP57" s="399"/>
      <c r="AR57" s="122"/>
    </row>
    <row r="58" spans="1:54" ht="14.25" customHeight="1" x14ac:dyDescent="0.25">
      <c r="AO58" s="240" t="s">
        <v>1195</v>
      </c>
      <c r="AP58" s="241"/>
      <c r="AQ58" s="242"/>
      <c r="AR58" s="211"/>
      <c r="AS58" s="211"/>
      <c r="AT58" s="211"/>
      <c r="AU58" s="211"/>
      <c r="AV58" s="211"/>
      <c r="AW58" s="211"/>
      <c r="AX58" s="211"/>
      <c r="AY58" s="211"/>
      <c r="AZ58" s="211"/>
      <c r="BA58" s="211"/>
      <c r="BB58" s="211"/>
    </row>
    <row r="59" spans="1:54" x14ac:dyDescent="0.25">
      <c r="AO59" s="243" t="s">
        <v>313</v>
      </c>
      <c r="AP59" s="5"/>
      <c r="AQ59" s="299">
        <f>AO21*0.0145</f>
        <v>10254.718986950002</v>
      </c>
      <c r="AR59" s="211"/>
      <c r="AS59" s="211"/>
      <c r="AT59" s="211"/>
      <c r="AU59" s="211"/>
      <c r="AV59" s="211"/>
      <c r="AW59" s="211"/>
      <c r="AX59" s="211"/>
      <c r="AY59" s="211"/>
      <c r="AZ59" s="211"/>
      <c r="BA59" s="211"/>
      <c r="BB59" s="211"/>
    </row>
    <row r="60" spans="1:54" x14ac:dyDescent="0.25">
      <c r="AO60" s="210" t="s">
        <v>314</v>
      </c>
      <c r="AP60" s="5"/>
      <c r="AQ60" s="299">
        <f>AO21*0.0009</f>
        <v>636.49979918999998</v>
      </c>
      <c r="AR60" s="211"/>
      <c r="AS60" s="211"/>
      <c r="AT60" s="211"/>
      <c r="AU60" s="211"/>
      <c r="AV60" s="211"/>
      <c r="AW60" s="211"/>
      <c r="AX60" s="211"/>
      <c r="AY60" s="211"/>
      <c r="AZ60" s="211"/>
      <c r="BA60" s="211"/>
      <c r="BB60" s="211"/>
    </row>
    <row r="61" spans="1:54" x14ac:dyDescent="0.25">
      <c r="AO61" s="210" t="s">
        <v>315</v>
      </c>
      <c r="AP61" s="5"/>
      <c r="AQ61" s="299">
        <f>AO21*0.003</f>
        <v>2121.6659973000001</v>
      </c>
      <c r="AR61" s="211"/>
      <c r="AS61" s="211"/>
      <c r="AT61" s="211"/>
      <c r="AU61" s="211"/>
      <c r="AV61" s="211"/>
      <c r="AW61" s="211"/>
      <c r="AX61" s="211"/>
      <c r="AY61" s="211"/>
      <c r="AZ61" s="211"/>
      <c r="BA61" s="211"/>
      <c r="BB61" s="211"/>
    </row>
    <row r="62" spans="1:54" x14ac:dyDescent="0.25">
      <c r="AO62" s="210" t="s">
        <v>316</v>
      </c>
      <c r="AP62" s="5"/>
      <c r="AQ62" s="299">
        <f>'County Retirement'!G17</f>
        <v>73540.949357957754</v>
      </c>
      <c r="AR62" s="211"/>
      <c r="AS62" s="211"/>
      <c r="AT62" s="211"/>
      <c r="AU62" s="211"/>
      <c r="AV62" s="211"/>
      <c r="AW62" s="211"/>
      <c r="AX62" s="211"/>
      <c r="AY62" s="211"/>
      <c r="AZ62" s="211"/>
      <c r="BA62" s="211"/>
      <c r="BB62" s="211"/>
    </row>
    <row r="63" spans="1:54" x14ac:dyDescent="0.25">
      <c r="AO63" s="210" t="s">
        <v>317</v>
      </c>
      <c r="AP63" s="5"/>
      <c r="AQ63" s="300">
        <f>'Health Ins'!L42</f>
        <v>95931</v>
      </c>
      <c r="AR63" s="211"/>
      <c r="AS63" s="211"/>
      <c r="AT63" s="211"/>
      <c r="AU63" s="211"/>
      <c r="AV63" s="211"/>
      <c r="AW63" s="211"/>
      <c r="AX63" s="211"/>
      <c r="AY63" s="211"/>
      <c r="AZ63" s="211"/>
      <c r="BA63" s="211"/>
      <c r="BB63" s="211"/>
    </row>
    <row r="64" spans="1:54" x14ac:dyDescent="0.25">
      <c r="AO64" s="235"/>
      <c r="AP64" s="237"/>
      <c r="AQ64" s="239">
        <f>SUM(AQ59:AQ63)</f>
        <v>182484.83414139776</v>
      </c>
      <c r="AR64" s="211"/>
      <c r="AS64" s="211"/>
      <c r="AT64" s="211"/>
      <c r="AU64" s="211"/>
      <c r="AV64" s="211"/>
      <c r="AW64" s="211"/>
      <c r="AX64" s="211"/>
      <c r="AY64" s="211"/>
      <c r="AZ64" s="211"/>
      <c r="BA64" s="211"/>
      <c r="BB64" s="211"/>
    </row>
    <row r="65" spans="3:54" x14ac:dyDescent="0.25">
      <c r="AO65" s="212"/>
      <c r="AP65" s="212"/>
      <c r="AQ65" s="211"/>
      <c r="AR65" s="211"/>
      <c r="AS65" s="211"/>
      <c r="AT65" s="211"/>
      <c r="AU65" s="211"/>
      <c r="AV65" s="211"/>
      <c r="AW65" s="211"/>
      <c r="AX65" s="211"/>
      <c r="AY65" s="211"/>
      <c r="AZ65" s="211"/>
      <c r="BA65" s="211"/>
      <c r="BB65" s="211"/>
    </row>
    <row r="66" spans="3:54" x14ac:dyDescent="0.25">
      <c r="C66" s="394" t="s">
        <v>1445</v>
      </c>
      <c r="AB66" s="409">
        <f>-SUM(AB14:AB18)</f>
        <v>-66302.48</v>
      </c>
      <c r="AF66" s="409">
        <f>-SUM(AF14:AF18)</f>
        <v>-64728.34</v>
      </c>
      <c r="AG66" s="409">
        <f>-SUM(AG14:AG18)</f>
        <v>-64728.34</v>
      </c>
      <c r="AK66" s="409">
        <f>-SUM(AK14:AK18)</f>
        <v>-75371</v>
      </c>
      <c r="AO66" s="409">
        <f>-AO12-AO14-AO15-AO16</f>
        <v>-105920</v>
      </c>
      <c r="AP66" s="131" t="s">
        <v>1444</v>
      </c>
      <c r="AQ66" s="211"/>
      <c r="AR66" s="211"/>
      <c r="AS66" s="211"/>
      <c r="AT66" s="211"/>
      <c r="AU66" s="211"/>
      <c r="AV66" s="211"/>
      <c r="AW66" s="211"/>
      <c r="AX66" s="211"/>
      <c r="AY66" s="211"/>
      <c r="AZ66" s="211"/>
      <c r="BA66" s="211"/>
      <c r="BB66" s="211"/>
    </row>
    <row r="67" spans="3:54" x14ac:dyDescent="0.25">
      <c r="AO67" s="131"/>
      <c r="AP67" s="131"/>
      <c r="AQ67" s="211"/>
      <c r="AR67" s="211"/>
      <c r="AS67" s="211"/>
      <c r="AT67" s="211"/>
      <c r="AU67" s="211"/>
      <c r="AV67" s="211"/>
      <c r="AW67" s="211"/>
      <c r="AX67" s="211"/>
      <c r="AY67" s="211"/>
      <c r="AZ67" s="211"/>
      <c r="BA67" s="211"/>
      <c r="BB67" s="211"/>
    </row>
    <row r="68" spans="3:54" x14ac:dyDescent="0.25">
      <c r="D68" s="120"/>
      <c r="H68" s="120"/>
      <c r="L68" s="120"/>
      <c r="P68" s="120"/>
      <c r="T68" s="120"/>
      <c r="X68" s="120"/>
      <c r="AB68" s="120"/>
      <c r="AF68" s="120"/>
      <c r="AG68" s="120"/>
      <c r="AK68" s="403"/>
    </row>
    <row r="69" spans="3:54" x14ac:dyDescent="0.25">
      <c r="D69" s="120"/>
      <c r="H69" s="120"/>
      <c r="L69" s="120"/>
      <c r="P69" s="120"/>
      <c r="T69" s="120"/>
      <c r="X69" s="120"/>
      <c r="AB69" s="120"/>
      <c r="AF69" s="120"/>
      <c r="AG69" s="120"/>
      <c r="AK69" s="403"/>
    </row>
    <row r="70" spans="3:54" x14ac:dyDescent="0.25">
      <c r="D70" s="120"/>
      <c r="H70" s="120"/>
      <c r="L70" s="120"/>
      <c r="P70" s="120"/>
      <c r="T70" s="120"/>
      <c r="X70" s="120"/>
      <c r="AB70" s="120"/>
      <c r="AF70" s="120"/>
      <c r="AG70" s="120"/>
      <c r="AK70" s="403"/>
    </row>
    <row r="71" spans="3:54" x14ac:dyDescent="0.25">
      <c r="D71" s="120"/>
      <c r="H71" s="120"/>
      <c r="L71" s="120"/>
      <c r="P71" s="120"/>
      <c r="T71" s="120"/>
      <c r="X71" s="120"/>
      <c r="AB71" s="120"/>
      <c r="AF71" s="120"/>
      <c r="AG71" s="120"/>
      <c r="AK71" s="403"/>
    </row>
    <row r="72" spans="3:54" x14ac:dyDescent="0.25">
      <c r="D72" s="120"/>
      <c r="H72" s="120"/>
      <c r="L72" s="120"/>
      <c r="P72" s="120"/>
      <c r="T72" s="120"/>
      <c r="X72" s="120"/>
      <c r="AB72" s="120"/>
      <c r="AF72" s="120"/>
      <c r="AG72" s="120"/>
      <c r="AK72" s="403"/>
    </row>
    <row r="73" spans="3:54" x14ac:dyDescent="0.25">
      <c r="D73" s="120"/>
      <c r="H73" s="120"/>
      <c r="L73" s="120"/>
      <c r="P73" s="120"/>
      <c r="T73" s="120"/>
      <c r="X73" s="120"/>
      <c r="AB73" s="120"/>
      <c r="AF73" s="120"/>
      <c r="AG73" s="120"/>
      <c r="AK73" s="403"/>
    </row>
    <row r="74" spans="3:54" x14ac:dyDescent="0.25">
      <c r="D74" s="120"/>
      <c r="H74" s="120"/>
      <c r="L74" s="120"/>
      <c r="P74" s="120"/>
      <c r="T74" s="120"/>
      <c r="X74" s="120"/>
      <c r="AB74" s="120"/>
      <c r="AF74" s="120"/>
      <c r="AG74" s="120"/>
      <c r="AK74" s="403"/>
    </row>
    <row r="75" spans="3:54" x14ac:dyDescent="0.25">
      <c r="D75" s="120"/>
      <c r="H75" s="120"/>
      <c r="L75" s="120"/>
      <c r="P75" s="120"/>
      <c r="T75" s="120"/>
      <c r="X75" s="120"/>
      <c r="AB75" s="120"/>
      <c r="AF75" s="120"/>
      <c r="AG75" s="120"/>
      <c r="AK75" s="403"/>
    </row>
    <row r="76" spans="3:54" x14ac:dyDescent="0.25">
      <c r="D76" s="120"/>
      <c r="H76" s="120"/>
      <c r="L76" s="120"/>
      <c r="P76" s="120"/>
      <c r="T76" s="120"/>
      <c r="X76" s="120"/>
      <c r="AB76" s="120"/>
      <c r="AF76" s="120"/>
      <c r="AG76" s="120"/>
      <c r="AK76" s="403"/>
    </row>
    <row r="77" spans="3:54" x14ac:dyDescent="0.25">
      <c r="D77" s="120"/>
      <c r="H77" s="120"/>
      <c r="L77" s="120"/>
      <c r="P77" s="120"/>
      <c r="T77" s="120"/>
      <c r="X77" s="120"/>
      <c r="AB77" s="120"/>
      <c r="AF77" s="120"/>
      <c r="AG77" s="120"/>
      <c r="AK77" s="403"/>
    </row>
    <row r="78" spans="3:54" x14ac:dyDescent="0.25">
      <c r="D78" s="120"/>
      <c r="H78" s="120"/>
      <c r="L78" s="120"/>
      <c r="P78" s="120"/>
      <c r="T78" s="120"/>
      <c r="X78" s="120"/>
      <c r="AB78" s="120"/>
      <c r="AF78" s="120"/>
      <c r="AG78" s="120"/>
      <c r="AK78" s="403"/>
    </row>
    <row r="79" spans="3:54" x14ac:dyDescent="0.25">
      <c r="D79" s="120"/>
      <c r="H79" s="120"/>
      <c r="L79" s="120"/>
      <c r="P79" s="120"/>
      <c r="T79" s="120"/>
      <c r="X79" s="120"/>
      <c r="AB79" s="120"/>
      <c r="AF79" s="120"/>
      <c r="AG79" s="120"/>
      <c r="AK79" s="403"/>
    </row>
    <row r="80" spans="3:54"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403" t="s">
        <v>1511</v>
      </c>
      <c r="E118" s="211">
        <v>30.35</v>
      </c>
      <c r="F118" s="211">
        <v>25</v>
      </c>
      <c r="G118" s="397"/>
      <c r="H118" s="403"/>
      <c r="I118" s="394"/>
      <c r="J118" s="394"/>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sheetData>
  <sortState xmlns:xlrd2="http://schemas.microsoft.com/office/spreadsheetml/2017/richdata2" ref="A24:BB49">
    <sortCondition ref="B24:B49"/>
  </sortState>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5" fitToHeight="2" orientation="landscape" r:id="rId1"/>
  <headerFooter alignWithMargins="0">
    <oddHeader>&amp;C&amp;"-,Bold"Proposed Budget &amp; Analysis Report for FY20</oddHeader>
    <oddFooter>&amp;C&amp;D&amp;T&amp;R&amp;A</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3:BB399"/>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1.85546875" style="161" customWidth="1"/>
    <col min="4" max="4" width="13.28515625" style="211" hidden="1" customWidth="1"/>
    <col min="5" max="5" width="11.42578125" style="211" hidden="1" customWidth="1"/>
    <col min="6" max="6" width="8.28515625" style="211" hidden="1" customWidth="1"/>
    <col min="7" max="7" width="1.85546875" style="213" hidden="1" customWidth="1"/>
    <col min="8" max="8" width="13.28515625" style="211" hidden="1" customWidth="1"/>
    <col min="9" max="9" width="11.42578125" style="211" hidden="1" customWidth="1"/>
    <col min="10" max="10" width="8.28515625" style="211" hidden="1" customWidth="1"/>
    <col min="11" max="11" width="1.85546875" style="213" hidden="1" customWidth="1"/>
    <col min="12" max="12" width="13.28515625" style="211" hidden="1" customWidth="1"/>
    <col min="13" max="13" width="11.42578125" style="211" hidden="1" customWidth="1"/>
    <col min="14" max="14" width="8.28515625" style="211" hidden="1" customWidth="1"/>
    <col min="15" max="15" width="1.85546875" style="213" hidden="1" customWidth="1"/>
    <col min="16" max="16" width="13.28515625" style="211" hidden="1" customWidth="1"/>
    <col min="17" max="17" width="11.42578125" style="211" hidden="1" customWidth="1"/>
    <col min="18" max="18" width="8.28515625" style="211" hidden="1" customWidth="1"/>
    <col min="19" max="19" width="1.85546875" style="213" hidden="1" customWidth="1"/>
    <col min="20" max="20" width="13.28515625" style="161" hidden="1" customWidth="1"/>
    <col min="21" max="21" width="11.42578125" style="161" hidden="1" customWidth="1"/>
    <col min="22" max="22" width="8.28515625" style="161" hidden="1" customWidth="1"/>
    <col min="23" max="23" width="1.85546875" style="103" hidden="1" customWidth="1"/>
    <col min="24" max="25" width="11.5703125" style="161" hidden="1" customWidth="1"/>
    <col min="26" max="26" width="9.28515625" style="161" hidden="1" customWidth="1"/>
    <col min="27" max="27" width="1.85546875" style="103" hidden="1" customWidth="1"/>
    <col min="28" max="29" width="11.5703125" style="161" customWidth="1"/>
    <col min="30" max="30" width="9.28515625" style="161" bestFit="1" customWidth="1"/>
    <col min="31" max="31" width="1.85546875" style="213"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1.85546875" style="397" customWidth="1"/>
    <col min="41" max="41" width="13.5703125" style="104" customWidth="1"/>
    <col min="42" max="42" width="11.28515625" style="104" bestFit="1" customWidth="1"/>
    <col min="43" max="43" width="11.5703125" style="161" bestFit="1" customWidth="1"/>
    <col min="44" max="44" width="28.42578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1786</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62"/>
      <c r="AP5" s="144"/>
      <c r="AR5" s="111"/>
    </row>
    <row r="6" spans="1:44" s="211" customFormat="1" x14ac:dyDescent="0.25">
      <c r="A6" s="211" t="s">
        <v>533</v>
      </c>
      <c r="B6" s="214" t="str">
        <f>MID(A6,14,4)</f>
        <v>5187</v>
      </c>
      <c r="C6" s="211" t="s">
        <v>1852</v>
      </c>
      <c r="D6" s="245">
        <v>21000</v>
      </c>
      <c r="E6" s="245">
        <v>21004</v>
      </c>
      <c r="F6" s="216"/>
      <c r="G6" s="213"/>
      <c r="H6" s="245">
        <v>27000</v>
      </c>
      <c r="I6" s="245">
        <v>27000</v>
      </c>
      <c r="J6" s="216">
        <v>0.2857142857142857</v>
      </c>
      <c r="K6" s="213"/>
      <c r="L6" s="245">
        <v>33000</v>
      </c>
      <c r="M6" s="245">
        <v>33000</v>
      </c>
      <c r="N6" s="216">
        <v>0.22222222222222221</v>
      </c>
      <c r="O6" s="213"/>
      <c r="P6" s="245">
        <v>33000</v>
      </c>
      <c r="Q6" s="245">
        <v>33000</v>
      </c>
      <c r="R6" s="216">
        <v>0</v>
      </c>
      <c r="S6" s="213"/>
      <c r="T6" s="245">
        <v>35000</v>
      </c>
      <c r="U6" s="245">
        <v>35000.04</v>
      </c>
      <c r="V6" s="216">
        <v>6.0606060606060608E-2</v>
      </c>
      <c r="W6" s="213"/>
      <c r="X6" s="245">
        <v>35455</v>
      </c>
      <c r="Y6" s="245">
        <v>35454.959999999999</v>
      </c>
      <c r="Z6" s="216">
        <v>1.2999999999999999E-2</v>
      </c>
      <c r="AA6" s="213"/>
      <c r="AB6" s="245">
        <v>37000</v>
      </c>
      <c r="AC6" s="245">
        <v>36999.96</v>
      </c>
      <c r="AD6" s="216">
        <f t="shared" ref="AD6:AD12" si="0">(AB6-X6)/X6</f>
        <v>4.3576364405584544E-2</v>
      </c>
      <c r="AE6" s="213"/>
      <c r="AF6" s="212">
        <v>37370</v>
      </c>
      <c r="AG6" s="380">
        <v>51185</v>
      </c>
      <c r="AH6" s="245">
        <v>53268.36</v>
      </c>
      <c r="AI6" s="216">
        <f>(AG6-AB6)/AB6</f>
        <v>0.3833783783783784</v>
      </c>
      <c r="AJ6" s="216"/>
      <c r="AK6" s="398">
        <v>65000</v>
      </c>
      <c r="AL6" s="398">
        <v>31250</v>
      </c>
      <c r="AM6" s="396">
        <f t="shared" ref="AM6:AM12" si="1">(AK6-AG6)/AG6</f>
        <v>0.26990329198007229</v>
      </c>
      <c r="AN6" s="397"/>
      <c r="AO6" s="163">
        <f>'FY20 Payroll Schedule'!J66</f>
        <v>85000</v>
      </c>
      <c r="AP6" s="212">
        <f>AO6-AK6</f>
        <v>20000</v>
      </c>
      <c r="AQ6" s="396">
        <f t="shared" ref="AQ6:AQ12" si="2">(AO6-AK6)/AK6</f>
        <v>0.30769230769230771</v>
      </c>
      <c r="AR6" s="288"/>
    </row>
    <row r="7" spans="1:44" s="211" customFormat="1" x14ac:dyDescent="0.25">
      <c r="A7" s="395" t="s">
        <v>1862</v>
      </c>
      <c r="B7" s="395" t="str">
        <f>MID(A7,14,4)</f>
        <v>5142</v>
      </c>
      <c r="C7" s="211" t="s">
        <v>1455</v>
      </c>
      <c r="D7" s="245">
        <v>0</v>
      </c>
      <c r="E7" s="245">
        <v>0</v>
      </c>
      <c r="F7" s="216"/>
      <c r="G7" s="213"/>
      <c r="H7" s="245">
        <v>0</v>
      </c>
      <c r="I7" s="245">
        <v>0</v>
      </c>
      <c r="J7" s="216" t="e">
        <v>#DIV/0!</v>
      </c>
      <c r="K7" s="213"/>
      <c r="L7" s="245">
        <v>0</v>
      </c>
      <c r="M7" s="245">
        <v>330</v>
      </c>
      <c r="N7" s="216" t="e">
        <v>#DIV/0!</v>
      </c>
      <c r="O7" s="213"/>
      <c r="P7" s="245">
        <v>330</v>
      </c>
      <c r="Q7" s="245">
        <v>330</v>
      </c>
      <c r="R7" s="216" t="e">
        <v>#DIV/0!</v>
      </c>
      <c r="S7" s="213"/>
      <c r="T7" s="245">
        <v>350</v>
      </c>
      <c r="U7" s="245">
        <v>700</v>
      </c>
      <c r="V7" s="216">
        <v>6.0606060606060608E-2</v>
      </c>
      <c r="W7" s="213"/>
      <c r="X7" s="245">
        <v>354.55</v>
      </c>
      <c r="Y7" s="245">
        <v>354.55</v>
      </c>
      <c r="Z7" s="216">
        <v>1.3000000000000032E-2</v>
      </c>
      <c r="AA7" s="213"/>
      <c r="AB7" s="245">
        <v>740</v>
      </c>
      <c r="AC7" s="245">
        <v>740</v>
      </c>
      <c r="AD7" s="216">
        <f t="shared" si="0"/>
        <v>1.0871527288111691</v>
      </c>
      <c r="AE7" s="213"/>
      <c r="AF7" s="212">
        <v>747.4</v>
      </c>
      <c r="AG7" s="380">
        <v>747.4</v>
      </c>
      <c r="AH7" s="245"/>
      <c r="AI7" s="216">
        <f t="shared" ref="AI7:AI43" si="3">(AG7-AB7)/AB7</f>
        <v>9.999999999999969E-3</v>
      </c>
      <c r="AJ7" s="216"/>
      <c r="AK7" s="398">
        <v>1240</v>
      </c>
      <c r="AL7" s="398">
        <v>0</v>
      </c>
      <c r="AM7" s="396">
        <f t="shared" si="1"/>
        <v>0.65908482740165919</v>
      </c>
      <c r="AN7" s="397"/>
      <c r="AO7" s="163"/>
      <c r="AP7" s="399">
        <f t="shared" ref="AP7:AP13" si="4">AO7-AK7</f>
        <v>-1240</v>
      </c>
      <c r="AQ7" s="396">
        <f t="shared" si="2"/>
        <v>-1</v>
      </c>
      <c r="AR7" s="288"/>
    </row>
    <row r="8" spans="1:44" s="211" customFormat="1" x14ac:dyDescent="0.25">
      <c r="A8" s="211" t="s">
        <v>528</v>
      </c>
      <c r="B8" s="214" t="str">
        <f t="shared" ref="B8:B13" si="5">MID(A8,14,4)</f>
        <v>5108</v>
      </c>
      <c r="C8" s="211" t="s">
        <v>1721</v>
      </c>
      <c r="D8" s="245">
        <v>4500</v>
      </c>
      <c r="E8" s="245">
        <v>4684.62</v>
      </c>
      <c r="F8" s="216"/>
      <c r="G8" s="213"/>
      <c r="H8" s="245">
        <v>5522</v>
      </c>
      <c r="I8" s="245">
        <v>5886.9</v>
      </c>
      <c r="J8" s="216">
        <v>0.22711111111111112</v>
      </c>
      <c r="K8" s="213"/>
      <c r="L8" s="245">
        <v>8210.5400000000009</v>
      </c>
      <c r="M8" s="245">
        <v>5538.88</v>
      </c>
      <c r="N8" s="216">
        <v>0.48687794277435725</v>
      </c>
      <c r="O8" s="213"/>
      <c r="P8" s="245">
        <v>8696.52</v>
      </c>
      <c r="Q8" s="245">
        <v>5497.8</v>
      </c>
      <c r="R8" s="216">
        <v>5.9189773145249827E-2</v>
      </c>
      <c r="S8" s="213"/>
      <c r="T8" s="245">
        <v>9135</v>
      </c>
      <c r="U8" s="245">
        <v>6269.18</v>
      </c>
      <c r="V8" s="216">
        <v>5.0420168067226837E-2</v>
      </c>
      <c r="W8" s="213"/>
      <c r="X8" s="245">
        <v>9569.14</v>
      </c>
      <c r="Y8" s="245">
        <v>9533.17</v>
      </c>
      <c r="Z8" s="216">
        <v>4.7524904214559321E-2</v>
      </c>
      <c r="AA8" s="213"/>
      <c r="AB8" s="245">
        <v>10004.65</v>
      </c>
      <c r="AC8" s="245">
        <v>9116.2999999999993</v>
      </c>
      <c r="AD8" s="216">
        <f t="shared" si="0"/>
        <v>4.5511926881621569E-2</v>
      </c>
      <c r="AE8" s="213"/>
      <c r="AF8" s="212">
        <v>10483.33</v>
      </c>
      <c r="AG8" s="380">
        <v>10490.63</v>
      </c>
      <c r="AH8" s="245">
        <v>5920.14</v>
      </c>
      <c r="AI8" s="216">
        <f t="shared" si="3"/>
        <v>4.8575412433218508E-2</v>
      </c>
      <c r="AJ8" s="216"/>
      <c r="AK8" s="398">
        <v>10691.6</v>
      </c>
      <c r="AL8" s="398">
        <v>1653.93</v>
      </c>
      <c r="AM8" s="396">
        <f t="shared" si="1"/>
        <v>1.9157095427062166E-2</v>
      </c>
      <c r="AN8" s="397"/>
      <c r="AO8" s="408">
        <f>'FY20 Payroll Schedule'!J68</f>
        <v>10925.46</v>
      </c>
      <c r="AP8" s="399">
        <f t="shared" si="4"/>
        <v>233.85999999999876</v>
      </c>
      <c r="AQ8" s="396">
        <f t="shared" si="2"/>
        <v>2.1873246286804478E-2</v>
      </c>
      <c r="AR8" s="288" t="s">
        <v>1399</v>
      </c>
    </row>
    <row r="9" spans="1:44" x14ac:dyDescent="0.25">
      <c r="A9" s="161" t="s">
        <v>529</v>
      </c>
      <c r="B9" s="119" t="str">
        <f t="shared" si="5"/>
        <v>5111</v>
      </c>
      <c r="C9" s="161" t="s">
        <v>1853</v>
      </c>
      <c r="D9" s="245">
        <v>50</v>
      </c>
      <c r="E9" s="245">
        <v>50</v>
      </c>
      <c r="F9" s="216"/>
      <c r="H9" s="245">
        <v>50</v>
      </c>
      <c r="I9" s="245">
        <v>50</v>
      </c>
      <c r="J9" s="216">
        <v>0</v>
      </c>
      <c r="L9" s="245">
        <v>50</v>
      </c>
      <c r="M9" s="245">
        <v>50</v>
      </c>
      <c r="N9" s="216">
        <v>0</v>
      </c>
      <c r="P9" s="245">
        <v>50</v>
      </c>
      <c r="Q9" s="245">
        <v>50</v>
      </c>
      <c r="R9" s="216">
        <v>0</v>
      </c>
      <c r="T9" s="245">
        <v>50</v>
      </c>
      <c r="U9" s="245">
        <v>50</v>
      </c>
      <c r="V9" s="216">
        <v>0</v>
      </c>
      <c r="W9" s="213"/>
      <c r="X9" s="245">
        <v>50</v>
      </c>
      <c r="Y9" s="245">
        <v>50</v>
      </c>
      <c r="Z9" s="216">
        <v>0</v>
      </c>
      <c r="AA9" s="213"/>
      <c r="AB9" s="245">
        <v>50</v>
      </c>
      <c r="AC9" s="245">
        <v>50</v>
      </c>
      <c r="AD9" s="216">
        <f t="shared" si="0"/>
        <v>0</v>
      </c>
      <c r="AF9" s="212">
        <v>50</v>
      </c>
      <c r="AG9" s="380">
        <v>50</v>
      </c>
      <c r="AH9" s="245">
        <v>50</v>
      </c>
      <c r="AI9" s="216">
        <f t="shared" si="3"/>
        <v>0</v>
      </c>
      <c r="AJ9" s="80"/>
      <c r="AK9" s="398">
        <v>50</v>
      </c>
      <c r="AL9" s="398">
        <v>0</v>
      </c>
      <c r="AM9" s="396">
        <f t="shared" si="1"/>
        <v>0</v>
      </c>
      <c r="AO9" s="408">
        <v>50</v>
      </c>
      <c r="AP9" s="399">
        <f t="shared" si="4"/>
        <v>0</v>
      </c>
      <c r="AQ9" s="396">
        <f t="shared" si="2"/>
        <v>0</v>
      </c>
      <c r="AR9" s="524"/>
    </row>
    <row r="10" spans="1:44" x14ac:dyDescent="0.25">
      <c r="A10" s="161" t="s">
        <v>530</v>
      </c>
      <c r="B10" s="119" t="str">
        <f t="shared" si="5"/>
        <v>5125</v>
      </c>
      <c r="C10" s="161" t="s">
        <v>1854</v>
      </c>
      <c r="D10" s="245">
        <v>10500</v>
      </c>
      <c r="E10" s="245">
        <v>10600</v>
      </c>
      <c r="F10" s="216"/>
      <c r="H10" s="245">
        <v>11000</v>
      </c>
      <c r="I10" s="245">
        <v>10600</v>
      </c>
      <c r="J10" s="216">
        <v>4.7619047619047616E-2</v>
      </c>
      <c r="L10" s="245">
        <v>12000</v>
      </c>
      <c r="M10" s="245">
        <v>11900</v>
      </c>
      <c r="N10" s="216">
        <v>9.0909090909090912E-2</v>
      </c>
      <c r="P10" s="245">
        <v>15000</v>
      </c>
      <c r="Q10" s="245">
        <v>12200</v>
      </c>
      <c r="R10" s="216">
        <v>0.25</v>
      </c>
      <c r="T10" s="245">
        <v>15000</v>
      </c>
      <c r="U10" s="245">
        <v>12000</v>
      </c>
      <c r="V10" s="216">
        <v>0</v>
      </c>
      <c r="W10" s="213"/>
      <c r="X10" s="245">
        <v>15000</v>
      </c>
      <c r="Y10" s="245">
        <v>11300</v>
      </c>
      <c r="Z10" s="216">
        <v>0</v>
      </c>
      <c r="AA10" s="213"/>
      <c r="AB10" s="245">
        <v>14500</v>
      </c>
      <c r="AC10" s="245">
        <v>13750</v>
      </c>
      <c r="AD10" s="216">
        <f t="shared" si="0"/>
        <v>-3.3333333333333333E-2</v>
      </c>
      <c r="AF10" s="212">
        <v>15000</v>
      </c>
      <c r="AG10" s="380">
        <v>15000</v>
      </c>
      <c r="AH10" s="245">
        <v>18230</v>
      </c>
      <c r="AI10" s="216">
        <f t="shared" si="3"/>
        <v>3.4482758620689655E-2</v>
      </c>
      <c r="AJ10" s="80"/>
      <c r="AK10" s="398">
        <v>18000</v>
      </c>
      <c r="AL10" s="398">
        <v>15350</v>
      </c>
      <c r="AM10" s="396">
        <f t="shared" si="1"/>
        <v>0.2</v>
      </c>
      <c r="AO10" s="408">
        <f>'FY20 Payroll Schedule'!J70</f>
        <v>20000</v>
      </c>
      <c r="AP10" s="399">
        <f t="shared" si="4"/>
        <v>2000</v>
      </c>
      <c r="AQ10" s="396">
        <f t="shared" si="2"/>
        <v>0.1111111111111111</v>
      </c>
      <c r="AR10" s="166"/>
    </row>
    <row r="11" spans="1:44" x14ac:dyDescent="0.25">
      <c r="A11" s="161" t="s">
        <v>531</v>
      </c>
      <c r="B11" s="119" t="str">
        <f t="shared" si="5"/>
        <v>5126</v>
      </c>
      <c r="C11" s="161" t="s">
        <v>1855</v>
      </c>
      <c r="D11" s="245">
        <v>16500</v>
      </c>
      <c r="E11" s="245">
        <v>15600</v>
      </c>
      <c r="F11" s="216"/>
      <c r="H11" s="245">
        <v>18000</v>
      </c>
      <c r="I11" s="245">
        <v>18000</v>
      </c>
      <c r="J11" s="216">
        <v>9.0909090909090912E-2</v>
      </c>
      <c r="L11" s="245">
        <v>19000</v>
      </c>
      <c r="M11" s="245">
        <v>17750</v>
      </c>
      <c r="N11" s="216">
        <v>5.5555555555555552E-2</v>
      </c>
      <c r="P11" s="245">
        <v>21000</v>
      </c>
      <c r="Q11" s="245">
        <v>19350</v>
      </c>
      <c r="R11" s="216">
        <v>0.10526315789473684</v>
      </c>
      <c r="T11" s="245">
        <v>21000</v>
      </c>
      <c r="U11" s="245">
        <v>18150</v>
      </c>
      <c r="V11" s="216">
        <v>0</v>
      </c>
      <c r="W11" s="213"/>
      <c r="X11" s="245">
        <v>21000</v>
      </c>
      <c r="Y11" s="245">
        <v>17900</v>
      </c>
      <c r="Z11" s="216">
        <v>0</v>
      </c>
      <c r="AA11" s="213"/>
      <c r="AB11" s="245">
        <v>20500</v>
      </c>
      <c r="AC11" s="245">
        <v>14450</v>
      </c>
      <c r="AD11" s="216">
        <f t="shared" si="0"/>
        <v>-2.3809523809523808E-2</v>
      </c>
      <c r="AF11" s="212">
        <v>21000</v>
      </c>
      <c r="AG11" s="380">
        <v>21000</v>
      </c>
      <c r="AH11" s="245">
        <v>18577</v>
      </c>
      <c r="AI11" s="216">
        <f t="shared" si="3"/>
        <v>2.4390243902439025E-2</v>
      </c>
      <c r="AJ11" s="80"/>
      <c r="AK11" s="398">
        <v>22000</v>
      </c>
      <c r="AL11" s="398">
        <v>11125</v>
      </c>
      <c r="AM11" s="396">
        <f t="shared" si="1"/>
        <v>4.7619047619047616E-2</v>
      </c>
      <c r="AO11" s="408">
        <f>'FY20 Payroll Schedule'!J71</f>
        <v>24000</v>
      </c>
      <c r="AP11" s="399">
        <f t="shared" si="4"/>
        <v>2000</v>
      </c>
      <c r="AQ11" s="396">
        <f t="shared" si="2"/>
        <v>9.0909090909090912E-2</v>
      </c>
      <c r="AR11" s="166"/>
    </row>
    <row r="12" spans="1:44" s="211" customFormat="1" x14ac:dyDescent="0.25">
      <c r="A12" s="211" t="s">
        <v>532</v>
      </c>
      <c r="B12" s="214" t="str">
        <f t="shared" si="5"/>
        <v>5163</v>
      </c>
      <c r="C12" s="211" t="s">
        <v>1856</v>
      </c>
      <c r="D12" s="245">
        <v>5000</v>
      </c>
      <c r="E12" s="245">
        <v>4050</v>
      </c>
      <c r="F12" s="216"/>
      <c r="G12" s="213"/>
      <c r="H12" s="245">
        <v>4500</v>
      </c>
      <c r="I12" s="245">
        <v>4725</v>
      </c>
      <c r="J12" s="216">
        <v>-0.1</v>
      </c>
      <c r="K12" s="213"/>
      <c r="L12" s="245">
        <v>4000</v>
      </c>
      <c r="M12" s="245">
        <v>4815</v>
      </c>
      <c r="N12" s="216">
        <v>-0.1111111111111111</v>
      </c>
      <c r="O12" s="213"/>
      <c r="P12" s="245">
        <v>4000</v>
      </c>
      <c r="Q12" s="245">
        <v>4185</v>
      </c>
      <c r="R12" s="216">
        <v>0</v>
      </c>
      <c r="S12" s="213"/>
      <c r="T12" s="245">
        <v>4000</v>
      </c>
      <c r="U12" s="245">
        <v>4590</v>
      </c>
      <c r="V12" s="216">
        <v>0</v>
      </c>
      <c r="W12" s="213"/>
      <c r="X12" s="245">
        <v>4000</v>
      </c>
      <c r="Y12" s="245">
        <v>4500</v>
      </c>
      <c r="Z12" s="216">
        <v>0</v>
      </c>
      <c r="AA12" s="213"/>
      <c r="AB12" s="245">
        <v>4500</v>
      </c>
      <c r="AC12" s="245">
        <v>4680</v>
      </c>
      <c r="AD12" s="216">
        <f t="shared" si="0"/>
        <v>0.125</v>
      </c>
      <c r="AE12" s="213"/>
      <c r="AF12" s="245">
        <v>4500</v>
      </c>
      <c r="AG12" s="380">
        <v>4500</v>
      </c>
      <c r="AH12" s="245">
        <v>5575</v>
      </c>
      <c r="AI12" s="216">
        <f t="shared" si="3"/>
        <v>0</v>
      </c>
      <c r="AJ12" s="216"/>
      <c r="AK12" s="398">
        <v>4500</v>
      </c>
      <c r="AL12" s="398">
        <v>0</v>
      </c>
      <c r="AM12" s="396">
        <f t="shared" si="1"/>
        <v>0</v>
      </c>
      <c r="AN12" s="397"/>
      <c r="AO12" s="408">
        <f>'FY20 Payroll Schedule'!J72</f>
        <v>2500</v>
      </c>
      <c r="AP12" s="399">
        <f t="shared" si="4"/>
        <v>-2000</v>
      </c>
      <c r="AQ12" s="396">
        <f t="shared" si="2"/>
        <v>-0.44444444444444442</v>
      </c>
      <c r="AR12" s="288"/>
    </row>
    <row r="13" spans="1:44" x14ac:dyDescent="0.25">
      <c r="A13" s="214" t="s">
        <v>1398</v>
      </c>
      <c r="B13" s="119" t="str">
        <f t="shared" si="5"/>
        <v>5166</v>
      </c>
      <c r="C13" s="161" t="s">
        <v>1857</v>
      </c>
      <c r="D13" s="245">
        <v>500</v>
      </c>
      <c r="E13" s="245">
        <v>0</v>
      </c>
      <c r="F13" s="216"/>
      <c r="H13" s="245">
        <v>500</v>
      </c>
      <c r="I13" s="245">
        <v>550</v>
      </c>
      <c r="J13" s="216">
        <v>0</v>
      </c>
      <c r="L13" s="245">
        <v>600</v>
      </c>
      <c r="M13" s="245">
        <v>0</v>
      </c>
      <c r="N13" s="216">
        <v>0.2</v>
      </c>
      <c r="P13" s="245">
        <v>0</v>
      </c>
      <c r="Q13" s="245">
        <v>0</v>
      </c>
      <c r="R13" s="216"/>
      <c r="T13" s="245">
        <v>0</v>
      </c>
      <c r="U13" s="245">
        <v>0</v>
      </c>
      <c r="V13" s="216"/>
      <c r="W13" s="213"/>
      <c r="X13" s="245">
        <v>0</v>
      </c>
      <c r="Y13" s="245">
        <v>0</v>
      </c>
      <c r="Z13" s="216"/>
      <c r="AA13" s="213"/>
      <c r="AB13" s="245">
        <v>0</v>
      </c>
      <c r="AC13" s="245">
        <v>0</v>
      </c>
      <c r="AD13" s="216"/>
      <c r="AF13" s="245" t="e">
        <f ca="1">_xll.GL($A13,DATA!$M$5,DATA!$A$1,DATA!$M$6,DATA!$M$7)</f>
        <v>#NAME?</v>
      </c>
      <c r="AG13" s="380">
        <v>0</v>
      </c>
      <c r="AH13" s="245"/>
      <c r="AI13" s="216" t="e">
        <f t="shared" si="3"/>
        <v>#DIV/0!</v>
      </c>
      <c r="AJ13" s="80"/>
      <c r="AK13" s="398">
        <v>0</v>
      </c>
      <c r="AL13" s="398"/>
      <c r="AM13" s="396"/>
      <c r="AO13" s="163"/>
      <c r="AP13" s="399">
        <f t="shared" si="4"/>
        <v>0</v>
      </c>
      <c r="AQ13" s="396"/>
      <c r="AR13" s="400"/>
    </row>
    <row r="14" spans="1:44" s="114" customFormat="1" x14ac:dyDescent="0.25">
      <c r="A14" s="224"/>
      <c r="B14" s="224"/>
      <c r="C14" s="224" t="s">
        <v>26</v>
      </c>
      <c r="D14" s="225">
        <f>SUM(D6:D13)</f>
        <v>58050</v>
      </c>
      <c r="E14" s="225">
        <f>SUM(E6:E13)</f>
        <v>55988.619999999995</v>
      </c>
      <c r="F14" s="226">
        <v>0.1545</v>
      </c>
      <c r="G14" s="224"/>
      <c r="H14" s="225">
        <f>SUM(H6:H13)</f>
        <v>66572</v>
      </c>
      <c r="I14" s="225">
        <f>SUM(I6:I13)</f>
        <v>66811.899999999994</v>
      </c>
      <c r="J14" s="226">
        <f>(H14-D14)/D14</f>
        <v>0.14680447889750214</v>
      </c>
      <c r="K14" s="224"/>
      <c r="L14" s="225">
        <f>SUM(L6:L13)</f>
        <v>76860.540000000008</v>
      </c>
      <c r="M14" s="225">
        <f>SUM(M6:M13)</f>
        <v>73383.88</v>
      </c>
      <c r="N14" s="226">
        <f>(L14-H14)/H14</f>
        <v>0.15454755753169513</v>
      </c>
      <c r="O14" s="224"/>
      <c r="P14" s="225">
        <f>SUM(P6:P13)</f>
        <v>82076.52</v>
      </c>
      <c r="Q14" s="225">
        <f>SUM(Q6:Q13)</f>
        <v>74612.800000000003</v>
      </c>
      <c r="R14" s="226">
        <f>(P14-L14)/L14</f>
        <v>6.7862911189538813E-2</v>
      </c>
      <c r="S14" s="224"/>
      <c r="T14" s="225">
        <f>SUM(T6:T13)</f>
        <v>84535</v>
      </c>
      <c r="U14" s="225">
        <f>SUM(U6:U13)</f>
        <v>76759.22</v>
      </c>
      <c r="V14" s="226">
        <f>(T14-P14)/P14</f>
        <v>2.9953511674227853E-2</v>
      </c>
      <c r="W14" s="224"/>
      <c r="X14" s="225">
        <f>SUM(X6:X13)</f>
        <v>85428.69</v>
      </c>
      <c r="Y14" s="225">
        <f>SUM(Y6:Y13)</f>
        <v>79092.679999999993</v>
      </c>
      <c r="Z14" s="226">
        <f>(X14-T14)/T14</f>
        <v>1.0571834151534894E-2</v>
      </c>
      <c r="AA14" s="224"/>
      <c r="AB14" s="225">
        <f>SUM(AB6:AB13)</f>
        <v>87294.65</v>
      </c>
      <c r="AC14" s="225">
        <f>SUM(AC6:AC13)</f>
        <v>79786.259999999995</v>
      </c>
      <c r="AD14" s="226">
        <f>(AB14-X14)/X14</f>
        <v>2.1842310820872846E-2</v>
      </c>
      <c r="AE14" s="224"/>
      <c r="AF14" s="225" t="e">
        <f ca="1">SUM(AF6:AF13)</f>
        <v>#NAME?</v>
      </c>
      <c r="AG14" s="225">
        <f>SUM(AG6:AG13)</f>
        <v>102973.03</v>
      </c>
      <c r="AH14" s="225">
        <f>SUM(AH6:AH13)</f>
        <v>101620.5</v>
      </c>
      <c r="AI14" s="226">
        <f t="shared" si="3"/>
        <v>0.17960298827018614</v>
      </c>
      <c r="AJ14" s="226"/>
      <c r="AK14" s="225">
        <f>SUM(AK6:AK13)</f>
        <v>121481.60000000001</v>
      </c>
      <c r="AL14" s="225">
        <f>SUM(AL6:AL13)</f>
        <v>59378.93</v>
      </c>
      <c r="AM14" s="226">
        <f>(AK14-AG14)/AG14</f>
        <v>0.17974191883059096</v>
      </c>
      <c r="AN14" s="224"/>
      <c r="AO14" s="227">
        <f>SUM(AO6:AO13)</f>
        <v>142475.46</v>
      </c>
      <c r="AP14" s="227">
        <f>SUM(AP6:AP13)</f>
        <v>20993.86</v>
      </c>
      <c r="AQ14" s="226">
        <f>(AO14-AK14)/AK14</f>
        <v>0.17281514237547074</v>
      </c>
      <c r="AR14" s="224"/>
    </row>
    <row r="15" spans="1:44" x14ac:dyDescent="0.25">
      <c r="D15" s="112"/>
      <c r="E15" s="112"/>
      <c r="F15" s="112"/>
      <c r="H15" s="112"/>
      <c r="I15" s="112"/>
      <c r="J15" s="112"/>
      <c r="L15" s="112"/>
      <c r="M15" s="112"/>
      <c r="N15" s="112"/>
      <c r="P15" s="112"/>
      <c r="Q15" s="112"/>
      <c r="R15" s="112"/>
      <c r="T15" s="112"/>
      <c r="U15" s="112"/>
      <c r="V15" s="112"/>
      <c r="X15" s="112"/>
      <c r="Y15" s="112"/>
      <c r="Z15" s="112"/>
      <c r="AB15" s="112"/>
      <c r="AC15" s="112"/>
      <c r="AD15" s="112"/>
      <c r="AF15" s="112"/>
      <c r="AG15" s="112"/>
      <c r="AH15" s="112"/>
      <c r="AI15" s="112"/>
      <c r="AJ15" s="112"/>
      <c r="AK15" s="112"/>
      <c r="AL15" s="112"/>
      <c r="AM15" s="112"/>
      <c r="AQ15" s="112"/>
    </row>
    <row r="16" spans="1:44" x14ac:dyDescent="0.25">
      <c r="C16" s="111" t="s">
        <v>277</v>
      </c>
      <c r="D16" s="112"/>
      <c r="E16" s="112"/>
      <c r="F16" s="112"/>
      <c r="H16" s="112"/>
      <c r="I16" s="112"/>
      <c r="J16" s="112"/>
      <c r="L16" s="112"/>
      <c r="M16" s="112"/>
      <c r="N16" s="112"/>
      <c r="P16" s="112"/>
      <c r="Q16" s="112"/>
      <c r="R16" s="112"/>
      <c r="T16" s="112"/>
      <c r="U16" s="112"/>
      <c r="V16" s="112"/>
      <c r="X16" s="112"/>
      <c r="Y16" s="112"/>
      <c r="Z16" s="112"/>
      <c r="AB16" s="112"/>
      <c r="AC16" s="112"/>
      <c r="AD16" s="112"/>
      <c r="AF16" s="112"/>
      <c r="AG16" s="112"/>
      <c r="AH16" s="112"/>
      <c r="AI16" s="112"/>
      <c r="AJ16" s="112"/>
      <c r="AK16" s="112"/>
      <c r="AL16" s="112"/>
      <c r="AM16" s="112"/>
      <c r="AQ16" s="112"/>
      <c r="AR16" s="111"/>
    </row>
    <row r="17" spans="1:44" s="211" customFormat="1" x14ac:dyDescent="0.25">
      <c r="A17" s="211" t="s">
        <v>534</v>
      </c>
      <c r="B17" s="214" t="str">
        <f t="shared" ref="B17:B44" si="6">MID(A17,14,4)</f>
        <v>5210</v>
      </c>
      <c r="C17" s="211" t="s">
        <v>1626</v>
      </c>
      <c r="D17" s="245">
        <v>2400</v>
      </c>
      <c r="E17" s="245">
        <v>2316.4899999999998</v>
      </c>
      <c r="F17" s="216"/>
      <c r="G17" s="213"/>
      <c r="H17" s="245">
        <v>2400</v>
      </c>
      <c r="I17" s="245">
        <v>2208.38</v>
      </c>
      <c r="J17" s="216">
        <v>0</v>
      </c>
      <c r="K17" s="213"/>
      <c r="L17" s="245">
        <v>2400</v>
      </c>
      <c r="M17" s="245">
        <v>2072.3200000000002</v>
      </c>
      <c r="N17" s="216">
        <v>0</v>
      </c>
      <c r="O17" s="213"/>
      <c r="P17" s="245">
        <v>2400</v>
      </c>
      <c r="Q17" s="245">
        <v>2701.53</v>
      </c>
      <c r="R17" s="216">
        <v>0</v>
      </c>
      <c r="S17" s="213"/>
      <c r="T17" s="245">
        <v>2300</v>
      </c>
      <c r="U17" s="245">
        <v>2157.4699999999998</v>
      </c>
      <c r="V17" s="216">
        <v>-4.1666666666666664E-2</v>
      </c>
      <c r="W17" s="213"/>
      <c r="X17" s="245">
        <v>2800</v>
      </c>
      <c r="Y17" s="245">
        <v>816.9</v>
      </c>
      <c r="Z17" s="216">
        <v>0.21739130434782608</v>
      </c>
      <c r="AA17" s="213"/>
      <c r="AB17" s="245">
        <v>2200</v>
      </c>
      <c r="AC17" s="245">
        <v>859.23</v>
      </c>
      <c r="AD17" s="216">
        <f t="shared" ref="AD17:AD44" si="7">(AB17-X17)/X17</f>
        <v>-0.21428571428571427</v>
      </c>
      <c r="AE17" s="213"/>
      <c r="AF17" s="245">
        <v>1600</v>
      </c>
      <c r="AG17" s="163">
        <v>1600</v>
      </c>
      <c r="AH17" s="245">
        <v>398.29</v>
      </c>
      <c r="AI17" s="216">
        <f t="shared" si="3"/>
        <v>-0.27272727272727271</v>
      </c>
      <c r="AJ17" s="216"/>
      <c r="AK17" s="398">
        <v>1400</v>
      </c>
      <c r="AL17" s="398">
        <v>2.75</v>
      </c>
      <c r="AM17" s="396">
        <f t="shared" ref="AM17:AM29" si="8">(AK17-AG17)/AG17</f>
        <v>-0.125</v>
      </c>
      <c r="AN17" s="397"/>
      <c r="AO17" s="157">
        <v>1400</v>
      </c>
      <c r="AP17" s="399">
        <f t="shared" ref="AP17:AP44" si="9">AO17-AK17</f>
        <v>0</v>
      </c>
      <c r="AQ17" s="396">
        <f t="shared" ref="AQ17:AQ29" si="10">(AO17-AK17)/AK17</f>
        <v>0</v>
      </c>
      <c r="AR17" s="288"/>
    </row>
    <row r="18" spans="1:44" s="211" customFormat="1" x14ac:dyDescent="0.25">
      <c r="A18" s="211" t="s">
        <v>535</v>
      </c>
      <c r="B18" s="214" t="str">
        <f t="shared" si="6"/>
        <v>5211</v>
      </c>
      <c r="C18" s="211" t="s">
        <v>1628</v>
      </c>
      <c r="D18" s="245">
        <v>4400</v>
      </c>
      <c r="E18" s="245">
        <v>5747.9</v>
      </c>
      <c r="F18" s="216"/>
      <c r="G18" s="213"/>
      <c r="H18" s="245">
        <v>4500</v>
      </c>
      <c r="I18" s="245">
        <v>4071.69</v>
      </c>
      <c r="J18" s="216">
        <v>2.2727272727272728E-2</v>
      </c>
      <c r="K18" s="213"/>
      <c r="L18" s="245">
        <v>5000</v>
      </c>
      <c r="M18" s="245">
        <v>4626.38</v>
      </c>
      <c r="N18" s="216">
        <v>0.1111111111111111</v>
      </c>
      <c r="O18" s="213"/>
      <c r="P18" s="245">
        <v>4800</v>
      </c>
      <c r="Q18" s="245">
        <v>6047.99</v>
      </c>
      <c r="R18" s="216">
        <v>-0.04</v>
      </c>
      <c r="S18" s="213"/>
      <c r="T18" s="245">
        <v>5000</v>
      </c>
      <c r="U18" s="245">
        <v>4254.49</v>
      </c>
      <c r="V18" s="216">
        <v>4.1666666666666664E-2</v>
      </c>
      <c r="W18" s="213"/>
      <c r="X18" s="245">
        <v>5000</v>
      </c>
      <c r="Y18" s="245">
        <v>1890.78</v>
      </c>
      <c r="Z18" s="216">
        <v>0</v>
      </c>
      <c r="AA18" s="213"/>
      <c r="AB18" s="245">
        <v>4500</v>
      </c>
      <c r="AC18" s="245">
        <v>3500.28</v>
      </c>
      <c r="AD18" s="216">
        <f t="shared" si="7"/>
        <v>-0.1</v>
      </c>
      <c r="AE18" s="213"/>
      <c r="AF18" s="245">
        <v>3500</v>
      </c>
      <c r="AG18" s="163">
        <v>3500</v>
      </c>
      <c r="AH18" s="245">
        <v>5406.45</v>
      </c>
      <c r="AI18" s="216">
        <f t="shared" si="3"/>
        <v>-0.22222222222222221</v>
      </c>
      <c r="AJ18" s="216"/>
      <c r="AK18" s="398">
        <v>3500</v>
      </c>
      <c r="AL18" s="398">
        <v>967.37</v>
      </c>
      <c r="AM18" s="396">
        <f t="shared" si="8"/>
        <v>0</v>
      </c>
      <c r="AN18" s="397"/>
      <c r="AO18" s="157">
        <v>3500</v>
      </c>
      <c r="AP18" s="399">
        <f t="shared" si="9"/>
        <v>0</v>
      </c>
      <c r="AQ18" s="396">
        <f t="shared" si="10"/>
        <v>0</v>
      </c>
      <c r="AR18" s="288"/>
    </row>
    <row r="19" spans="1:44" s="211" customFormat="1" x14ac:dyDescent="0.25">
      <c r="A19" s="211" t="s">
        <v>536</v>
      </c>
      <c r="B19" s="214" t="str">
        <f t="shared" si="6"/>
        <v>5241</v>
      </c>
      <c r="C19" s="211" t="s">
        <v>1630</v>
      </c>
      <c r="D19" s="245">
        <v>3800</v>
      </c>
      <c r="E19" s="245">
        <v>3816.1</v>
      </c>
      <c r="F19" s="216"/>
      <c r="G19" s="213"/>
      <c r="H19" s="245">
        <v>3800</v>
      </c>
      <c r="I19" s="245">
        <v>6246.27</v>
      </c>
      <c r="J19" s="216">
        <v>0</v>
      </c>
      <c r="K19" s="213"/>
      <c r="L19" s="245">
        <v>3500</v>
      </c>
      <c r="M19" s="245">
        <v>9850.19</v>
      </c>
      <c r="N19" s="216">
        <v>-7.8947368421052627E-2</v>
      </c>
      <c r="O19" s="213"/>
      <c r="P19" s="245">
        <v>3500</v>
      </c>
      <c r="Q19" s="245">
        <v>1544.46</v>
      </c>
      <c r="R19" s="216">
        <v>0</v>
      </c>
      <c r="S19" s="213"/>
      <c r="T19" s="245">
        <v>3600</v>
      </c>
      <c r="U19" s="245">
        <v>3873.68</v>
      </c>
      <c r="V19" s="216">
        <v>2.8571428571428571E-2</v>
      </c>
      <c r="W19" s="213"/>
      <c r="X19" s="245">
        <v>3600</v>
      </c>
      <c r="Y19" s="245">
        <v>1994.52</v>
      </c>
      <c r="Z19" s="216">
        <v>0</v>
      </c>
      <c r="AA19" s="213"/>
      <c r="AB19" s="245">
        <v>3800</v>
      </c>
      <c r="AC19" s="245">
        <v>4665.34</v>
      </c>
      <c r="AD19" s="216">
        <f t="shared" si="7"/>
        <v>5.5555555555555552E-2</v>
      </c>
      <c r="AE19" s="213"/>
      <c r="AF19" s="245">
        <v>3800</v>
      </c>
      <c r="AG19" s="163">
        <v>3800</v>
      </c>
      <c r="AH19" s="245">
        <v>2071.46</v>
      </c>
      <c r="AI19" s="216">
        <f t="shared" si="3"/>
        <v>0</v>
      </c>
      <c r="AJ19" s="216"/>
      <c r="AK19" s="398">
        <v>5000</v>
      </c>
      <c r="AL19" s="398">
        <v>893.82</v>
      </c>
      <c r="AM19" s="396">
        <f t="shared" si="8"/>
        <v>0.31578947368421051</v>
      </c>
      <c r="AN19" s="397"/>
      <c r="AO19" s="157">
        <v>5000</v>
      </c>
      <c r="AP19" s="399">
        <f t="shared" si="9"/>
        <v>0</v>
      </c>
      <c r="AQ19" s="396">
        <f t="shared" si="10"/>
        <v>0</v>
      </c>
      <c r="AR19" s="400" t="s">
        <v>1427</v>
      </c>
    </row>
    <row r="20" spans="1:44" s="211" customFormat="1" x14ac:dyDescent="0.25">
      <c r="A20" s="211" t="s">
        <v>537</v>
      </c>
      <c r="B20" s="214" t="str">
        <f t="shared" si="6"/>
        <v>5243</v>
      </c>
      <c r="C20" s="211" t="s">
        <v>1681</v>
      </c>
      <c r="D20" s="245">
        <v>17000</v>
      </c>
      <c r="E20" s="245">
        <v>11944.22</v>
      </c>
      <c r="F20" s="216"/>
      <c r="G20" s="213"/>
      <c r="H20" s="245">
        <v>18000</v>
      </c>
      <c r="I20" s="245">
        <v>20394.21</v>
      </c>
      <c r="J20" s="216">
        <v>5.8823529411764705E-2</v>
      </c>
      <c r="K20" s="213"/>
      <c r="L20" s="245">
        <v>16000</v>
      </c>
      <c r="M20" s="245">
        <v>12478.07</v>
      </c>
      <c r="N20" s="216">
        <v>-0.1111111111111111</v>
      </c>
      <c r="O20" s="213"/>
      <c r="P20" s="245">
        <v>16000</v>
      </c>
      <c r="Q20" s="245">
        <v>12094.77</v>
      </c>
      <c r="R20" s="216">
        <v>0</v>
      </c>
      <c r="S20" s="213"/>
      <c r="T20" s="245">
        <v>16000</v>
      </c>
      <c r="U20" s="245">
        <v>7778.57</v>
      </c>
      <c r="V20" s="216">
        <v>0</v>
      </c>
      <c r="W20" s="213"/>
      <c r="X20" s="245">
        <v>16000</v>
      </c>
      <c r="Y20" s="245">
        <v>13672.87</v>
      </c>
      <c r="Z20" s="216">
        <v>0</v>
      </c>
      <c r="AA20" s="213"/>
      <c r="AB20" s="245">
        <v>15000</v>
      </c>
      <c r="AC20" s="245">
        <v>21440.080000000002</v>
      </c>
      <c r="AD20" s="216">
        <f t="shared" si="7"/>
        <v>-6.25E-2</v>
      </c>
      <c r="AE20" s="213"/>
      <c r="AF20" s="245">
        <v>15000</v>
      </c>
      <c r="AG20" s="163">
        <v>15000</v>
      </c>
      <c r="AH20" s="245">
        <v>7581.03</v>
      </c>
      <c r="AI20" s="216">
        <f t="shared" si="3"/>
        <v>0</v>
      </c>
      <c r="AJ20" s="216"/>
      <c r="AK20" s="398">
        <v>15000</v>
      </c>
      <c r="AL20" s="398">
        <v>4250.51</v>
      </c>
      <c r="AM20" s="396">
        <f t="shared" si="8"/>
        <v>0</v>
      </c>
      <c r="AN20" s="397"/>
      <c r="AO20" s="157">
        <v>15000</v>
      </c>
      <c r="AP20" s="399">
        <f t="shared" si="9"/>
        <v>0</v>
      </c>
      <c r="AQ20" s="396">
        <f t="shared" si="10"/>
        <v>0</v>
      </c>
      <c r="AR20" s="288"/>
    </row>
    <row r="21" spans="1:44" s="211" customFormat="1" x14ac:dyDescent="0.25">
      <c r="A21" s="211" t="s">
        <v>538</v>
      </c>
      <c r="B21" s="214" t="str">
        <f t="shared" si="6"/>
        <v>5245</v>
      </c>
      <c r="C21" s="211" t="s">
        <v>1633</v>
      </c>
      <c r="D21" s="245">
        <v>1700</v>
      </c>
      <c r="E21" s="245">
        <v>2722.72</v>
      </c>
      <c r="F21" s="216"/>
      <c r="G21" s="213"/>
      <c r="H21" s="245">
        <v>1600</v>
      </c>
      <c r="I21" s="245">
        <v>1820.9</v>
      </c>
      <c r="J21" s="216">
        <v>-5.8823529411764705E-2</v>
      </c>
      <c r="K21" s="213"/>
      <c r="L21" s="245">
        <v>1600</v>
      </c>
      <c r="M21" s="245">
        <v>2878.61</v>
      </c>
      <c r="N21" s="216">
        <v>0</v>
      </c>
      <c r="O21" s="213"/>
      <c r="P21" s="245">
        <v>1600</v>
      </c>
      <c r="Q21" s="245">
        <v>1964.64</v>
      </c>
      <c r="R21" s="216">
        <v>0</v>
      </c>
      <c r="S21" s="213"/>
      <c r="T21" s="245">
        <v>1700</v>
      </c>
      <c r="U21" s="245">
        <v>1495.46</v>
      </c>
      <c r="V21" s="216">
        <v>6.25E-2</v>
      </c>
      <c r="W21" s="213"/>
      <c r="X21" s="245">
        <v>1700</v>
      </c>
      <c r="Y21" s="245">
        <v>3910.73</v>
      </c>
      <c r="Z21" s="216">
        <v>0</v>
      </c>
      <c r="AA21" s="213"/>
      <c r="AB21" s="245">
        <v>1700</v>
      </c>
      <c r="AC21" s="245">
        <v>3473.11</v>
      </c>
      <c r="AD21" s="216">
        <f t="shared" si="7"/>
        <v>0</v>
      </c>
      <c r="AE21" s="213"/>
      <c r="AF21" s="245">
        <v>2700</v>
      </c>
      <c r="AG21" s="163">
        <v>2700</v>
      </c>
      <c r="AH21" s="245">
        <v>7125.83</v>
      </c>
      <c r="AI21" s="216">
        <f t="shared" si="3"/>
        <v>0.58823529411764708</v>
      </c>
      <c r="AJ21" s="216"/>
      <c r="AK21" s="398">
        <v>3000</v>
      </c>
      <c r="AL21" s="398">
        <v>390.33</v>
      </c>
      <c r="AM21" s="396">
        <f t="shared" si="8"/>
        <v>0.1111111111111111</v>
      </c>
      <c r="AN21" s="397"/>
      <c r="AO21" s="157">
        <v>3000</v>
      </c>
      <c r="AP21" s="399">
        <f t="shared" si="9"/>
        <v>0</v>
      </c>
      <c r="AQ21" s="396">
        <f t="shared" si="10"/>
        <v>0</v>
      </c>
      <c r="AR21" s="288"/>
    </row>
    <row r="22" spans="1:44" s="211" customFormat="1" x14ac:dyDescent="0.25">
      <c r="A22" s="211" t="s">
        <v>539</v>
      </c>
      <c r="B22" s="214" t="str">
        <f t="shared" si="6"/>
        <v>5248</v>
      </c>
      <c r="C22" s="211" t="s">
        <v>1613</v>
      </c>
      <c r="D22" s="245">
        <v>1700</v>
      </c>
      <c r="E22" s="245">
        <v>609.26</v>
      </c>
      <c r="F22" s="216"/>
      <c r="G22" s="213"/>
      <c r="H22" s="245">
        <v>1700</v>
      </c>
      <c r="I22" s="245">
        <v>965.76</v>
      </c>
      <c r="J22" s="216">
        <v>0</v>
      </c>
      <c r="K22" s="213"/>
      <c r="L22" s="245">
        <v>1500</v>
      </c>
      <c r="M22" s="245">
        <v>4442</v>
      </c>
      <c r="N22" s="216">
        <v>-0.11764705882352941</v>
      </c>
      <c r="O22" s="213"/>
      <c r="P22" s="245">
        <v>1500</v>
      </c>
      <c r="Q22" s="245">
        <v>4220.5</v>
      </c>
      <c r="R22" s="216">
        <v>0</v>
      </c>
      <c r="S22" s="213"/>
      <c r="T22" s="245">
        <v>2000</v>
      </c>
      <c r="U22" s="245">
        <v>6392.48</v>
      </c>
      <c r="V22" s="216">
        <v>0.33333333333333331</v>
      </c>
      <c r="W22" s="213"/>
      <c r="X22" s="245">
        <v>9000</v>
      </c>
      <c r="Y22" s="245">
        <v>7598.17</v>
      </c>
      <c r="Z22" s="216">
        <v>3.5</v>
      </c>
      <c r="AA22" s="213"/>
      <c r="AB22" s="245">
        <v>9000</v>
      </c>
      <c r="AC22" s="245">
        <v>7549.12</v>
      </c>
      <c r="AD22" s="216">
        <f t="shared" si="7"/>
        <v>0</v>
      </c>
      <c r="AE22" s="213"/>
      <c r="AF22" s="245">
        <v>9000</v>
      </c>
      <c r="AG22" s="163">
        <v>9000</v>
      </c>
      <c r="AH22" s="245">
        <v>8298.49</v>
      </c>
      <c r="AI22" s="216">
        <f t="shared" si="3"/>
        <v>0</v>
      </c>
      <c r="AJ22" s="216"/>
      <c r="AK22" s="398">
        <v>9000</v>
      </c>
      <c r="AL22" s="398">
        <v>7984.08</v>
      </c>
      <c r="AM22" s="396">
        <f t="shared" si="8"/>
        <v>0</v>
      </c>
      <c r="AN22" s="397"/>
      <c r="AO22" s="157">
        <v>9000</v>
      </c>
      <c r="AP22" s="399">
        <f t="shared" si="9"/>
        <v>0</v>
      </c>
      <c r="AQ22" s="396">
        <f t="shared" si="10"/>
        <v>0</v>
      </c>
      <c r="AR22" s="288" t="s">
        <v>976</v>
      </c>
    </row>
    <row r="23" spans="1:44" s="211" customFormat="1" x14ac:dyDescent="0.25">
      <c r="A23" s="211" t="s">
        <v>540</v>
      </c>
      <c r="B23" s="214" t="str">
        <f t="shared" si="6"/>
        <v>5251</v>
      </c>
      <c r="C23" s="211" t="s">
        <v>1682</v>
      </c>
      <c r="D23" s="245">
        <v>1500</v>
      </c>
      <c r="E23" s="245">
        <v>1183</v>
      </c>
      <c r="F23" s="216"/>
      <c r="G23" s="213"/>
      <c r="H23" s="245">
        <v>1400</v>
      </c>
      <c r="I23" s="245">
        <v>1961</v>
      </c>
      <c r="J23" s="216">
        <v>-6.6666666666666666E-2</v>
      </c>
      <c r="K23" s="213"/>
      <c r="L23" s="245">
        <v>1200</v>
      </c>
      <c r="M23" s="245">
        <v>1156</v>
      </c>
      <c r="N23" s="216">
        <v>-0.14285714285714285</v>
      </c>
      <c r="O23" s="213"/>
      <c r="P23" s="245">
        <v>1200</v>
      </c>
      <c r="Q23" s="245">
        <v>1111</v>
      </c>
      <c r="R23" s="216">
        <v>0</v>
      </c>
      <c r="S23" s="213"/>
      <c r="T23" s="245">
        <v>1200</v>
      </c>
      <c r="U23" s="245">
        <v>1362</v>
      </c>
      <c r="V23" s="216">
        <v>0</v>
      </c>
      <c r="W23" s="213"/>
      <c r="X23" s="245">
        <v>1200</v>
      </c>
      <c r="Y23" s="245">
        <v>688.4</v>
      </c>
      <c r="Z23" s="216">
        <v>0</v>
      </c>
      <c r="AA23" s="213"/>
      <c r="AB23" s="245">
        <v>1200</v>
      </c>
      <c r="AC23" s="245">
        <v>897</v>
      </c>
      <c r="AD23" s="216">
        <f t="shared" si="7"/>
        <v>0</v>
      </c>
      <c r="AE23" s="213"/>
      <c r="AF23" s="245">
        <v>1600</v>
      </c>
      <c r="AG23" s="163">
        <v>1600</v>
      </c>
      <c r="AH23" s="245">
        <v>163</v>
      </c>
      <c r="AI23" s="216">
        <f t="shared" si="3"/>
        <v>0.33333333333333331</v>
      </c>
      <c r="AJ23" s="216"/>
      <c r="AK23" s="398">
        <v>1600</v>
      </c>
      <c r="AL23" s="398">
        <v>0</v>
      </c>
      <c r="AM23" s="396">
        <f t="shared" si="8"/>
        <v>0</v>
      </c>
      <c r="AN23" s="397"/>
      <c r="AO23" s="157">
        <v>1600</v>
      </c>
      <c r="AP23" s="399">
        <f t="shared" si="9"/>
        <v>0</v>
      </c>
      <c r="AQ23" s="396">
        <f t="shared" si="10"/>
        <v>0</v>
      </c>
      <c r="AR23" s="288" t="s">
        <v>977</v>
      </c>
    </row>
    <row r="24" spans="1:44" s="211" customFormat="1" x14ac:dyDescent="0.25">
      <c r="A24" s="211" t="s">
        <v>541</v>
      </c>
      <c r="B24" s="214" t="str">
        <f t="shared" si="6"/>
        <v>5295</v>
      </c>
      <c r="C24" s="211" t="s">
        <v>1672</v>
      </c>
      <c r="D24" s="245">
        <v>1500</v>
      </c>
      <c r="E24" s="245">
        <v>798</v>
      </c>
      <c r="F24" s="216"/>
      <c r="G24" s="213"/>
      <c r="H24" s="245">
        <v>1200</v>
      </c>
      <c r="I24" s="245">
        <v>2440.62</v>
      </c>
      <c r="J24" s="216">
        <v>-0.2</v>
      </c>
      <c r="K24" s="213"/>
      <c r="L24" s="245">
        <v>2000</v>
      </c>
      <c r="M24" s="245">
        <v>1589.26</v>
      </c>
      <c r="N24" s="216">
        <v>0.66666666666666663</v>
      </c>
      <c r="O24" s="213"/>
      <c r="P24" s="245">
        <v>2000</v>
      </c>
      <c r="Q24" s="245">
        <v>2467.5300000000002</v>
      </c>
      <c r="R24" s="216">
        <v>0</v>
      </c>
      <c r="S24" s="213"/>
      <c r="T24" s="245">
        <v>2000</v>
      </c>
      <c r="U24" s="245">
        <v>2414.52</v>
      </c>
      <c r="V24" s="216">
        <v>0</v>
      </c>
      <c r="W24" s="213"/>
      <c r="X24" s="245">
        <v>2400</v>
      </c>
      <c r="Y24" s="245">
        <v>2462.67</v>
      </c>
      <c r="Z24" s="216">
        <v>0.2</v>
      </c>
      <c r="AA24" s="213"/>
      <c r="AB24" s="245">
        <v>2400</v>
      </c>
      <c r="AC24" s="245">
        <v>2340</v>
      </c>
      <c r="AD24" s="216">
        <f t="shared" si="7"/>
        <v>0</v>
      </c>
      <c r="AE24" s="213"/>
      <c r="AF24" s="245">
        <v>2600</v>
      </c>
      <c r="AG24" s="163">
        <v>2600</v>
      </c>
      <c r="AH24" s="245">
        <v>3360</v>
      </c>
      <c r="AI24" s="216">
        <f t="shared" si="3"/>
        <v>8.3333333333333329E-2</v>
      </c>
      <c r="AJ24" s="216"/>
      <c r="AK24" s="398">
        <v>2600</v>
      </c>
      <c r="AL24" s="398">
        <v>2640</v>
      </c>
      <c r="AM24" s="396">
        <f t="shared" si="8"/>
        <v>0</v>
      </c>
      <c r="AN24" s="397"/>
      <c r="AO24" s="157">
        <v>3600</v>
      </c>
      <c r="AP24" s="399">
        <f t="shared" si="9"/>
        <v>1000</v>
      </c>
      <c r="AQ24" s="396">
        <f t="shared" si="10"/>
        <v>0.38461538461538464</v>
      </c>
      <c r="AR24" s="288" t="s">
        <v>542</v>
      </c>
    </row>
    <row r="25" spans="1:44" s="211" customFormat="1" x14ac:dyDescent="0.25">
      <c r="A25" s="211" t="s">
        <v>544</v>
      </c>
      <c r="B25" s="214" t="str">
        <f>MID(A25,14,4)</f>
        <v>5341</v>
      </c>
      <c r="C25" s="211" t="s">
        <v>1640</v>
      </c>
      <c r="D25" s="245">
        <v>1400</v>
      </c>
      <c r="E25" s="245">
        <v>1397.33</v>
      </c>
      <c r="F25" s="216"/>
      <c r="G25" s="213"/>
      <c r="H25" s="245">
        <v>2000</v>
      </c>
      <c r="I25" s="245">
        <v>1805.82</v>
      </c>
      <c r="J25" s="216">
        <v>0.42857142857142855</v>
      </c>
      <c r="K25" s="213"/>
      <c r="L25" s="245">
        <v>1200</v>
      </c>
      <c r="M25" s="245">
        <v>1288.82</v>
      </c>
      <c r="N25" s="216">
        <v>-0.4</v>
      </c>
      <c r="O25" s="213"/>
      <c r="P25" s="245">
        <v>1200</v>
      </c>
      <c r="Q25" s="245">
        <v>1749.99</v>
      </c>
      <c r="R25" s="216">
        <v>0</v>
      </c>
      <c r="S25" s="213"/>
      <c r="T25" s="245">
        <v>1200</v>
      </c>
      <c r="U25" s="245">
        <v>2286.48</v>
      </c>
      <c r="V25" s="216">
        <v>0</v>
      </c>
      <c r="W25" s="213"/>
      <c r="X25" s="245">
        <v>1200</v>
      </c>
      <c r="Y25" s="245">
        <v>1339.42</v>
      </c>
      <c r="Z25" s="216">
        <v>0</v>
      </c>
      <c r="AA25" s="213"/>
      <c r="AB25" s="245">
        <v>1200</v>
      </c>
      <c r="AC25" s="245">
        <v>1327.39</v>
      </c>
      <c r="AD25" s="216">
        <f t="shared" si="7"/>
        <v>0</v>
      </c>
      <c r="AE25" s="213"/>
      <c r="AF25" s="245">
        <v>1600</v>
      </c>
      <c r="AG25" s="163">
        <v>1600</v>
      </c>
      <c r="AH25" s="245">
        <v>1410.03</v>
      </c>
      <c r="AI25" s="216">
        <f t="shared" si="3"/>
        <v>0.33333333333333331</v>
      </c>
      <c r="AJ25" s="216"/>
      <c r="AK25" s="398">
        <v>1600</v>
      </c>
      <c r="AL25" s="398">
        <v>603.41999999999996</v>
      </c>
      <c r="AM25" s="396">
        <f t="shared" si="8"/>
        <v>0</v>
      </c>
      <c r="AN25" s="397"/>
      <c r="AO25" s="157">
        <v>1600</v>
      </c>
      <c r="AP25" s="399">
        <f t="shared" si="9"/>
        <v>0</v>
      </c>
      <c r="AQ25" s="396">
        <f t="shared" si="10"/>
        <v>0</v>
      </c>
      <c r="AR25" s="288"/>
    </row>
    <row r="26" spans="1:44" s="211" customFormat="1" x14ac:dyDescent="0.25">
      <c r="A26" s="211" t="s">
        <v>543</v>
      </c>
      <c r="B26" s="214" t="str">
        <f t="shared" si="6"/>
        <v>5344</v>
      </c>
      <c r="C26" s="211" t="s">
        <v>1601</v>
      </c>
      <c r="D26" s="245">
        <v>0</v>
      </c>
      <c r="E26" s="245">
        <v>0</v>
      </c>
      <c r="F26" s="216"/>
      <c r="G26" s="213"/>
      <c r="H26" s="245">
        <v>0</v>
      </c>
      <c r="I26" s="245">
        <v>33.700000000000003</v>
      </c>
      <c r="J26" s="216" t="e">
        <v>#DIV/0!</v>
      </c>
      <c r="K26" s="213"/>
      <c r="L26" s="245">
        <v>50</v>
      </c>
      <c r="M26" s="245">
        <v>49.57</v>
      </c>
      <c r="N26" s="216" t="e">
        <v>#DIV/0!</v>
      </c>
      <c r="O26" s="213"/>
      <c r="P26" s="245">
        <v>50</v>
      </c>
      <c r="Q26" s="245">
        <v>38.53</v>
      </c>
      <c r="R26" s="216">
        <v>0</v>
      </c>
      <c r="S26" s="213"/>
      <c r="T26" s="245">
        <v>50</v>
      </c>
      <c r="U26" s="245">
        <v>47.69</v>
      </c>
      <c r="V26" s="216">
        <v>0</v>
      </c>
      <c r="W26" s="213"/>
      <c r="X26" s="245">
        <v>50</v>
      </c>
      <c r="Y26" s="245">
        <v>75.92</v>
      </c>
      <c r="Z26" s="216">
        <v>0</v>
      </c>
      <c r="AA26" s="213"/>
      <c r="AB26" s="245">
        <v>50</v>
      </c>
      <c r="AC26" s="245">
        <v>92.54</v>
      </c>
      <c r="AD26" s="216">
        <f t="shared" si="7"/>
        <v>0</v>
      </c>
      <c r="AE26" s="213"/>
      <c r="AF26" s="245">
        <v>75</v>
      </c>
      <c r="AG26" s="163">
        <v>75</v>
      </c>
      <c r="AH26" s="245">
        <v>86.23</v>
      </c>
      <c r="AI26" s="216">
        <f t="shared" si="3"/>
        <v>0.5</v>
      </c>
      <c r="AJ26" s="216"/>
      <c r="AK26" s="398">
        <v>75</v>
      </c>
      <c r="AL26" s="398">
        <v>31.36</v>
      </c>
      <c r="AM26" s="396">
        <f t="shared" si="8"/>
        <v>0</v>
      </c>
      <c r="AN26" s="397"/>
      <c r="AO26" s="157">
        <v>100</v>
      </c>
      <c r="AP26" s="399">
        <f t="shared" si="9"/>
        <v>25</v>
      </c>
      <c r="AQ26" s="396">
        <f t="shared" si="10"/>
        <v>0.33333333333333331</v>
      </c>
      <c r="AR26" s="288"/>
    </row>
    <row r="27" spans="1:44" s="211" customFormat="1" x14ac:dyDescent="0.25">
      <c r="A27" s="211" t="s">
        <v>892</v>
      </c>
      <c r="B27" s="214" t="str">
        <f>MID(A27,14,4)</f>
        <v>5420</v>
      </c>
      <c r="C27" s="211" t="s">
        <v>1480</v>
      </c>
      <c r="D27" s="245">
        <v>0</v>
      </c>
      <c r="E27" s="245">
        <v>0</v>
      </c>
      <c r="F27" s="216"/>
      <c r="G27" s="213"/>
      <c r="H27" s="245">
        <v>0</v>
      </c>
      <c r="I27" s="245">
        <v>60.79</v>
      </c>
      <c r="J27" s="216" t="e">
        <v>#DIV/0!</v>
      </c>
      <c r="K27" s="213"/>
      <c r="L27" s="245">
        <v>0</v>
      </c>
      <c r="M27" s="245">
        <v>290.68</v>
      </c>
      <c r="N27" s="216" t="e">
        <v>#DIV/0!</v>
      </c>
      <c r="O27" s="213"/>
      <c r="P27" s="245">
        <v>0</v>
      </c>
      <c r="Q27" s="245">
        <v>234.77</v>
      </c>
      <c r="R27" s="216" t="e">
        <v>#DIV/0!</v>
      </c>
      <c r="S27" s="213"/>
      <c r="T27" s="245">
        <v>400</v>
      </c>
      <c r="U27" s="245">
        <v>65.08</v>
      </c>
      <c r="V27" s="216" t="e">
        <v>#DIV/0!</v>
      </c>
      <c r="W27" s="213"/>
      <c r="X27" s="245">
        <v>400</v>
      </c>
      <c r="Y27" s="245">
        <v>458.18</v>
      </c>
      <c r="Z27" s="216">
        <v>0</v>
      </c>
      <c r="AA27" s="213"/>
      <c r="AB27" s="245">
        <v>400</v>
      </c>
      <c r="AC27" s="245">
        <v>65.41</v>
      </c>
      <c r="AD27" s="216">
        <f t="shared" si="7"/>
        <v>0</v>
      </c>
      <c r="AE27" s="213"/>
      <c r="AF27" s="245">
        <v>400</v>
      </c>
      <c r="AG27" s="163">
        <v>400</v>
      </c>
      <c r="AH27" s="245">
        <v>153.72999999999999</v>
      </c>
      <c r="AI27" s="216">
        <f t="shared" si="3"/>
        <v>0</v>
      </c>
      <c r="AJ27" s="216"/>
      <c r="AK27" s="398">
        <v>400</v>
      </c>
      <c r="AL27" s="398">
        <v>0</v>
      </c>
      <c r="AM27" s="396">
        <f t="shared" si="8"/>
        <v>0</v>
      </c>
      <c r="AN27" s="397"/>
      <c r="AO27" s="157">
        <v>400</v>
      </c>
      <c r="AP27" s="399">
        <f t="shared" si="9"/>
        <v>0</v>
      </c>
      <c r="AQ27" s="396">
        <f t="shared" si="10"/>
        <v>0</v>
      </c>
      <c r="AR27" s="288"/>
    </row>
    <row r="28" spans="1:44" s="211" customFormat="1" hidden="1" x14ac:dyDescent="0.25">
      <c r="A28" s="211" t="s">
        <v>955</v>
      </c>
      <c r="B28" s="214" t="str">
        <f>MID(A28,14,4)</f>
        <v>5422</v>
      </c>
      <c r="C28" s="211" t="s">
        <v>1858</v>
      </c>
      <c r="D28" s="245">
        <v>0</v>
      </c>
      <c r="E28" s="245">
        <v>0</v>
      </c>
      <c r="F28" s="216"/>
      <c r="G28" s="213"/>
      <c r="H28" s="245">
        <v>0</v>
      </c>
      <c r="I28" s="245">
        <v>78</v>
      </c>
      <c r="J28" s="216" t="e">
        <v>#DIV/0!</v>
      </c>
      <c r="K28" s="213"/>
      <c r="L28" s="245">
        <v>0</v>
      </c>
      <c r="M28" s="245">
        <v>259.7</v>
      </c>
      <c r="N28" s="216" t="e">
        <v>#DIV/0!</v>
      </c>
      <c r="O28" s="213"/>
      <c r="P28" s="245">
        <v>0</v>
      </c>
      <c r="Q28" s="245">
        <v>0</v>
      </c>
      <c r="R28" s="216" t="e">
        <v>#DIV/0!</v>
      </c>
      <c r="S28" s="213"/>
      <c r="T28" s="245">
        <v>0</v>
      </c>
      <c r="U28" s="245">
        <v>0</v>
      </c>
      <c r="V28" s="216" t="e">
        <v>#DIV/0!</v>
      </c>
      <c r="W28" s="213"/>
      <c r="X28" s="245">
        <v>0</v>
      </c>
      <c r="Y28" s="245">
        <v>167.99</v>
      </c>
      <c r="Z28" s="216" t="e">
        <v>#DIV/0!</v>
      </c>
      <c r="AA28" s="213"/>
      <c r="AB28" s="245">
        <v>0</v>
      </c>
      <c r="AC28" s="245">
        <v>0</v>
      </c>
      <c r="AD28" s="216" t="e">
        <f t="shared" si="7"/>
        <v>#DIV/0!</v>
      </c>
      <c r="AE28" s="213"/>
      <c r="AF28" s="245"/>
      <c r="AG28" s="163"/>
      <c r="AH28" s="245"/>
      <c r="AI28" s="216"/>
      <c r="AJ28" s="216"/>
      <c r="AK28" s="398"/>
      <c r="AL28" s="398"/>
      <c r="AM28" s="396" t="e">
        <f t="shared" si="8"/>
        <v>#DIV/0!</v>
      </c>
      <c r="AN28" s="397"/>
      <c r="AO28" s="157"/>
      <c r="AP28" s="399">
        <f t="shared" si="9"/>
        <v>0</v>
      </c>
      <c r="AQ28" s="396" t="e">
        <f t="shared" si="10"/>
        <v>#DIV/0!</v>
      </c>
      <c r="AR28" s="288"/>
    </row>
    <row r="29" spans="1:44" s="211" customFormat="1" x14ac:dyDescent="0.25">
      <c r="A29" s="211" t="s">
        <v>545</v>
      </c>
      <c r="B29" s="214" t="str">
        <f t="shared" si="6"/>
        <v>5430</v>
      </c>
      <c r="C29" s="211" t="s">
        <v>1673</v>
      </c>
      <c r="D29" s="245">
        <v>750</v>
      </c>
      <c r="E29" s="245">
        <v>84.3</v>
      </c>
      <c r="F29" s="216"/>
      <c r="G29" s="213"/>
      <c r="H29" s="245">
        <v>600</v>
      </c>
      <c r="I29" s="245">
        <v>526.20000000000005</v>
      </c>
      <c r="J29" s="216">
        <v>-0.2</v>
      </c>
      <c r="K29" s="213"/>
      <c r="L29" s="245">
        <v>400</v>
      </c>
      <c r="M29" s="245">
        <v>265.11</v>
      </c>
      <c r="N29" s="216">
        <v>-0.33333333333333331</v>
      </c>
      <c r="O29" s="213"/>
      <c r="P29" s="245">
        <v>400</v>
      </c>
      <c r="Q29" s="245">
        <v>375.36</v>
      </c>
      <c r="R29" s="216">
        <v>0</v>
      </c>
      <c r="S29" s="213"/>
      <c r="T29" s="245">
        <v>300</v>
      </c>
      <c r="U29" s="245">
        <v>90.78</v>
      </c>
      <c r="V29" s="216">
        <v>-0.25</v>
      </c>
      <c r="W29" s="213"/>
      <c r="X29" s="245">
        <v>300</v>
      </c>
      <c r="Y29" s="245">
        <v>144.22999999999999</v>
      </c>
      <c r="Z29" s="216">
        <v>0</v>
      </c>
      <c r="AA29" s="213"/>
      <c r="AB29" s="245">
        <v>300</v>
      </c>
      <c r="AC29" s="245">
        <v>107.8</v>
      </c>
      <c r="AD29" s="216">
        <f t="shared" si="7"/>
        <v>0</v>
      </c>
      <c r="AE29" s="213"/>
      <c r="AF29" s="245">
        <v>300</v>
      </c>
      <c r="AG29" s="163">
        <v>300</v>
      </c>
      <c r="AH29" s="245">
        <v>339.99</v>
      </c>
      <c r="AI29" s="216">
        <f t="shared" si="3"/>
        <v>0</v>
      </c>
      <c r="AJ29" s="216"/>
      <c r="AK29" s="398">
        <v>500</v>
      </c>
      <c r="AL29" s="398">
        <v>59.36</v>
      </c>
      <c r="AM29" s="396">
        <f t="shared" si="8"/>
        <v>0.66666666666666663</v>
      </c>
      <c r="AN29" s="397"/>
      <c r="AO29" s="157">
        <v>500</v>
      </c>
      <c r="AP29" s="399">
        <f t="shared" si="9"/>
        <v>0</v>
      </c>
      <c r="AQ29" s="396">
        <f t="shared" si="10"/>
        <v>0</v>
      </c>
      <c r="AR29" s="400" t="s">
        <v>1429</v>
      </c>
    </row>
    <row r="30" spans="1:44" s="394" customFormat="1" x14ac:dyDescent="0.25">
      <c r="A30" s="394" t="s">
        <v>1426</v>
      </c>
      <c r="B30" s="395" t="str">
        <f>MID(A30,14,4)</f>
        <v>5450</v>
      </c>
      <c r="C30" s="394" t="s">
        <v>1644</v>
      </c>
      <c r="D30" s="398">
        <v>0</v>
      </c>
      <c r="E30" s="398">
        <v>0</v>
      </c>
      <c r="F30" s="396"/>
      <c r="G30" s="397"/>
      <c r="H30" s="398">
        <v>0</v>
      </c>
      <c r="I30" s="398">
        <v>0</v>
      </c>
      <c r="J30" s="396" t="e">
        <v>#DIV/0!</v>
      </c>
      <c r="K30" s="397"/>
      <c r="L30" s="398">
        <v>0</v>
      </c>
      <c r="M30" s="398">
        <v>0</v>
      </c>
      <c r="N30" s="396" t="e">
        <v>#DIV/0!</v>
      </c>
      <c r="O30" s="397"/>
      <c r="P30" s="398">
        <v>0</v>
      </c>
      <c r="Q30" s="398">
        <v>0</v>
      </c>
      <c r="R30" s="396" t="e">
        <v>#DIV/0!</v>
      </c>
      <c r="S30" s="397"/>
      <c r="T30" s="398">
        <v>0</v>
      </c>
      <c r="U30" s="398">
        <v>0</v>
      </c>
      <c r="V30" s="396" t="e">
        <v>#DIV/0!</v>
      </c>
      <c r="W30" s="397"/>
      <c r="X30" s="398">
        <v>0</v>
      </c>
      <c r="Y30" s="398">
        <v>0</v>
      </c>
      <c r="Z30" s="396" t="e">
        <v>#DIV/0!</v>
      </c>
      <c r="AA30" s="397"/>
      <c r="AB30" s="398">
        <v>0</v>
      </c>
      <c r="AC30" s="398">
        <v>0</v>
      </c>
      <c r="AD30" s="396" t="e">
        <f>(AB30-X30)/X30</f>
        <v>#DIV/0!</v>
      </c>
      <c r="AE30" s="397"/>
      <c r="AF30" s="398"/>
      <c r="AG30" s="163">
        <v>0</v>
      </c>
      <c r="AH30" s="398">
        <v>62.83</v>
      </c>
      <c r="AI30" s="396" t="e">
        <f t="shared" si="3"/>
        <v>#DIV/0!</v>
      </c>
      <c r="AJ30" s="396"/>
      <c r="AK30" s="398">
        <v>300</v>
      </c>
      <c r="AL30" s="398">
        <v>58.28</v>
      </c>
      <c r="AM30" s="396" t="e">
        <f>(AK30-AG30)/AG30</f>
        <v>#DIV/0!</v>
      </c>
      <c r="AN30" s="397"/>
      <c r="AO30" s="157">
        <v>300</v>
      </c>
      <c r="AP30" s="399">
        <f t="shared" si="9"/>
        <v>0</v>
      </c>
      <c r="AQ30" s="396">
        <f>(AO30-AK30)/AK30</f>
        <v>0</v>
      </c>
      <c r="AR30" s="400" t="s">
        <v>1428</v>
      </c>
    </row>
    <row r="31" spans="1:44" s="211" customFormat="1" x14ac:dyDescent="0.25">
      <c r="A31" s="211" t="s">
        <v>546</v>
      </c>
      <c r="B31" s="214" t="str">
        <f t="shared" si="6"/>
        <v>5481</v>
      </c>
      <c r="C31" s="211" t="s">
        <v>1683</v>
      </c>
      <c r="D31" s="245">
        <v>4500</v>
      </c>
      <c r="E31" s="245">
        <v>2249.59</v>
      </c>
      <c r="F31" s="216"/>
      <c r="G31" s="213"/>
      <c r="H31" s="245">
        <v>4000</v>
      </c>
      <c r="I31" s="245">
        <v>2793.01</v>
      </c>
      <c r="J31" s="216">
        <v>-0.1111111111111111</v>
      </c>
      <c r="K31" s="213"/>
      <c r="L31" s="245">
        <v>3000</v>
      </c>
      <c r="M31" s="245">
        <v>2239.2800000000002</v>
      </c>
      <c r="N31" s="216">
        <v>-0.25</v>
      </c>
      <c r="O31" s="213"/>
      <c r="P31" s="245">
        <v>3000</v>
      </c>
      <c r="Q31" s="245">
        <v>2480.9</v>
      </c>
      <c r="R31" s="216">
        <v>0</v>
      </c>
      <c r="S31" s="213"/>
      <c r="T31" s="245">
        <v>2800</v>
      </c>
      <c r="U31" s="245">
        <v>2219.56</v>
      </c>
      <c r="V31" s="216">
        <v>-6.6666666666666666E-2</v>
      </c>
      <c r="W31" s="213"/>
      <c r="X31" s="245">
        <v>2800</v>
      </c>
      <c r="Y31" s="245">
        <v>1825.99</v>
      </c>
      <c r="Z31" s="216">
        <v>0</v>
      </c>
      <c r="AA31" s="213"/>
      <c r="AB31" s="245">
        <v>2500</v>
      </c>
      <c r="AC31" s="245">
        <v>1451.53</v>
      </c>
      <c r="AD31" s="216">
        <f t="shared" si="7"/>
        <v>-0.10714285714285714</v>
      </c>
      <c r="AE31" s="213"/>
      <c r="AF31" s="245">
        <v>2500</v>
      </c>
      <c r="AG31" s="163">
        <v>2500</v>
      </c>
      <c r="AH31" s="245">
        <v>1076</v>
      </c>
      <c r="AI31" s="216">
        <f t="shared" si="3"/>
        <v>0</v>
      </c>
      <c r="AJ31" s="216"/>
      <c r="AK31" s="398">
        <v>2500</v>
      </c>
      <c r="AL31" s="398">
        <v>473.65</v>
      </c>
      <c r="AM31" s="396">
        <f t="shared" ref="AM31:AM44" si="11">(AK31-AG31)/AG31</f>
        <v>0</v>
      </c>
      <c r="AN31" s="397"/>
      <c r="AO31" s="157">
        <v>2500</v>
      </c>
      <c r="AP31" s="399">
        <f t="shared" si="9"/>
        <v>0</v>
      </c>
      <c r="AQ31" s="396">
        <f t="shared" ref="AQ31:AQ44" si="12">(AO31-AK31)/AK31</f>
        <v>0</v>
      </c>
      <c r="AR31" s="288"/>
    </row>
    <row r="32" spans="1:44" s="211" customFormat="1" x14ac:dyDescent="0.25">
      <c r="A32" s="211" t="s">
        <v>547</v>
      </c>
      <c r="B32" s="214" t="str">
        <f t="shared" si="6"/>
        <v>5482</v>
      </c>
      <c r="C32" s="211" t="s">
        <v>1493</v>
      </c>
      <c r="D32" s="245">
        <v>400</v>
      </c>
      <c r="E32" s="245">
        <v>236.26</v>
      </c>
      <c r="F32" s="216"/>
      <c r="G32" s="213"/>
      <c r="H32" s="245">
        <v>400</v>
      </c>
      <c r="I32" s="245">
        <v>94.66</v>
      </c>
      <c r="J32" s="216">
        <v>0</v>
      </c>
      <c r="K32" s="213"/>
      <c r="L32" s="245">
        <v>300</v>
      </c>
      <c r="M32" s="245">
        <v>1148.78</v>
      </c>
      <c r="N32" s="216">
        <v>-0.25</v>
      </c>
      <c r="O32" s="213"/>
      <c r="P32" s="245">
        <v>300</v>
      </c>
      <c r="Q32" s="245">
        <v>749.44</v>
      </c>
      <c r="R32" s="216">
        <v>0</v>
      </c>
      <c r="S32" s="213"/>
      <c r="T32" s="245">
        <v>400</v>
      </c>
      <c r="U32" s="245">
        <v>139.9</v>
      </c>
      <c r="V32" s="216">
        <v>0.33333333333333331</v>
      </c>
      <c r="W32" s="213"/>
      <c r="X32" s="245">
        <v>400</v>
      </c>
      <c r="Y32" s="245">
        <v>0</v>
      </c>
      <c r="Z32" s="216">
        <v>0</v>
      </c>
      <c r="AA32" s="213"/>
      <c r="AB32" s="245">
        <v>400</v>
      </c>
      <c r="AC32" s="245">
        <v>175.01</v>
      </c>
      <c r="AD32" s="216">
        <f t="shared" si="7"/>
        <v>0</v>
      </c>
      <c r="AE32" s="213"/>
      <c r="AF32" s="245">
        <v>300</v>
      </c>
      <c r="AG32" s="163">
        <v>300</v>
      </c>
      <c r="AH32" s="245">
        <v>0</v>
      </c>
      <c r="AI32" s="216">
        <f t="shared" si="3"/>
        <v>-0.25</v>
      </c>
      <c r="AJ32" s="216"/>
      <c r="AK32" s="398">
        <v>300</v>
      </c>
      <c r="AL32" s="398">
        <v>0</v>
      </c>
      <c r="AM32" s="396">
        <f t="shared" si="11"/>
        <v>0</v>
      </c>
      <c r="AN32" s="397"/>
      <c r="AO32" s="157">
        <v>300</v>
      </c>
      <c r="AP32" s="399">
        <f t="shared" si="9"/>
        <v>0</v>
      </c>
      <c r="AQ32" s="396">
        <f t="shared" si="12"/>
        <v>0</v>
      </c>
      <c r="AR32" s="288"/>
    </row>
    <row r="33" spans="1:44" s="211" customFormat="1" x14ac:dyDescent="0.25">
      <c r="A33" s="211" t="s">
        <v>548</v>
      </c>
      <c r="B33" s="214" t="str">
        <f t="shared" si="6"/>
        <v>5581</v>
      </c>
      <c r="C33" s="211" t="s">
        <v>1859</v>
      </c>
      <c r="D33" s="245">
        <v>4500</v>
      </c>
      <c r="E33" s="245">
        <v>4500</v>
      </c>
      <c r="F33" s="216"/>
      <c r="G33" s="213"/>
      <c r="H33" s="245">
        <v>4500</v>
      </c>
      <c r="I33" s="245">
        <v>3626.02</v>
      </c>
      <c r="J33" s="216">
        <v>0</v>
      </c>
      <c r="K33" s="213"/>
      <c r="L33" s="245">
        <v>4500</v>
      </c>
      <c r="M33" s="245">
        <v>2650.7</v>
      </c>
      <c r="N33" s="216">
        <v>0</v>
      </c>
      <c r="O33" s="213"/>
      <c r="P33" s="245">
        <v>4000</v>
      </c>
      <c r="Q33" s="245">
        <v>2370.0700000000002</v>
      </c>
      <c r="R33" s="216">
        <v>-0.1111111111111111</v>
      </c>
      <c r="S33" s="213"/>
      <c r="T33" s="245">
        <v>4000</v>
      </c>
      <c r="U33" s="245">
        <v>3788.5</v>
      </c>
      <c r="V33" s="216">
        <v>0</v>
      </c>
      <c r="W33" s="213"/>
      <c r="X33" s="245">
        <v>4000</v>
      </c>
      <c r="Y33" s="245">
        <v>12902.16</v>
      </c>
      <c r="Z33" s="216">
        <v>0</v>
      </c>
      <c r="AA33" s="213"/>
      <c r="AB33" s="245">
        <v>3800</v>
      </c>
      <c r="AC33" s="245">
        <v>3234.95</v>
      </c>
      <c r="AD33" s="216">
        <f t="shared" si="7"/>
        <v>-0.05</v>
      </c>
      <c r="AE33" s="213"/>
      <c r="AF33" s="245">
        <v>3800</v>
      </c>
      <c r="AG33" s="163">
        <v>3800</v>
      </c>
      <c r="AH33" s="245">
        <v>1288.97</v>
      </c>
      <c r="AI33" s="216">
        <f t="shared" si="3"/>
        <v>0</v>
      </c>
      <c r="AJ33" s="216"/>
      <c r="AK33" s="398">
        <v>3800</v>
      </c>
      <c r="AL33" s="398">
        <v>5714</v>
      </c>
      <c r="AM33" s="396">
        <f t="shared" si="11"/>
        <v>0</v>
      </c>
      <c r="AN33" s="397"/>
      <c r="AO33" s="157">
        <v>3800</v>
      </c>
      <c r="AP33" s="399">
        <f t="shared" si="9"/>
        <v>0</v>
      </c>
      <c r="AQ33" s="396">
        <f t="shared" si="12"/>
        <v>0</v>
      </c>
      <c r="AR33" s="288"/>
    </row>
    <row r="34" spans="1:44" s="211" customFormat="1" x14ac:dyDescent="0.25">
      <c r="A34" s="211" t="s">
        <v>549</v>
      </c>
      <c r="B34" s="214" t="str">
        <f t="shared" si="6"/>
        <v>5585</v>
      </c>
      <c r="C34" s="211" t="s">
        <v>1684</v>
      </c>
      <c r="D34" s="245">
        <v>500</v>
      </c>
      <c r="E34" s="245">
        <v>0</v>
      </c>
      <c r="F34" s="216"/>
      <c r="G34" s="213"/>
      <c r="H34" s="245">
        <v>400</v>
      </c>
      <c r="I34" s="245">
        <v>978.62</v>
      </c>
      <c r="J34" s="216">
        <v>-0.2</v>
      </c>
      <c r="K34" s="213"/>
      <c r="L34" s="245">
        <v>2000</v>
      </c>
      <c r="M34" s="245">
        <v>460.93</v>
      </c>
      <c r="N34" s="216">
        <v>4</v>
      </c>
      <c r="O34" s="213"/>
      <c r="P34" s="245">
        <v>2000</v>
      </c>
      <c r="Q34" s="245">
        <v>55</v>
      </c>
      <c r="R34" s="216">
        <v>0</v>
      </c>
      <c r="S34" s="213"/>
      <c r="T34" s="245">
        <v>2000</v>
      </c>
      <c r="U34" s="245">
        <v>2571.88</v>
      </c>
      <c r="V34" s="216">
        <v>0</v>
      </c>
      <c r="W34" s="213"/>
      <c r="X34" s="245">
        <v>2000</v>
      </c>
      <c r="Y34" s="245">
        <v>2963.99</v>
      </c>
      <c r="Z34" s="216">
        <v>0</v>
      </c>
      <c r="AA34" s="213"/>
      <c r="AB34" s="245">
        <v>2000</v>
      </c>
      <c r="AC34" s="245">
        <v>960.9</v>
      </c>
      <c r="AD34" s="216">
        <f t="shared" si="7"/>
        <v>0</v>
      </c>
      <c r="AE34" s="213"/>
      <c r="AF34" s="245">
        <v>2000</v>
      </c>
      <c r="AG34" s="163">
        <v>2000</v>
      </c>
      <c r="AH34" s="245">
        <v>750</v>
      </c>
      <c r="AI34" s="216">
        <f t="shared" si="3"/>
        <v>0</v>
      </c>
      <c r="AJ34" s="216"/>
      <c r="AK34" s="398">
        <v>2000</v>
      </c>
      <c r="AL34" s="398">
        <v>0</v>
      </c>
      <c r="AM34" s="396">
        <f t="shared" si="11"/>
        <v>0</v>
      </c>
      <c r="AN34" s="397"/>
      <c r="AO34" s="157">
        <v>2000</v>
      </c>
      <c r="AP34" s="399">
        <f t="shared" si="9"/>
        <v>0</v>
      </c>
      <c r="AQ34" s="396">
        <f t="shared" si="12"/>
        <v>0</v>
      </c>
      <c r="AR34" s="288"/>
    </row>
    <row r="35" spans="1:44" s="211" customFormat="1" x14ac:dyDescent="0.25">
      <c r="A35" s="211" t="s">
        <v>550</v>
      </c>
      <c r="B35" s="214" t="str">
        <f t="shared" si="6"/>
        <v>5587</v>
      </c>
      <c r="C35" s="211" t="s">
        <v>1652</v>
      </c>
      <c r="D35" s="245">
        <v>100</v>
      </c>
      <c r="E35" s="245">
        <v>29</v>
      </c>
      <c r="F35" s="216"/>
      <c r="G35" s="213"/>
      <c r="H35" s="245">
        <v>100</v>
      </c>
      <c r="I35" s="245">
        <v>0</v>
      </c>
      <c r="J35" s="216">
        <v>0</v>
      </c>
      <c r="K35" s="213"/>
      <c r="L35" s="245">
        <v>100</v>
      </c>
      <c r="M35" s="245">
        <v>0</v>
      </c>
      <c r="N35" s="216">
        <v>0</v>
      </c>
      <c r="O35" s="213"/>
      <c r="P35" s="245">
        <v>100</v>
      </c>
      <c r="Q35" s="245">
        <v>78</v>
      </c>
      <c r="R35" s="216">
        <v>0</v>
      </c>
      <c r="S35" s="213"/>
      <c r="T35" s="245">
        <v>100</v>
      </c>
      <c r="U35" s="245">
        <v>109</v>
      </c>
      <c r="V35" s="216">
        <v>0</v>
      </c>
      <c r="W35" s="213"/>
      <c r="X35" s="245">
        <v>100</v>
      </c>
      <c r="Y35" s="245">
        <v>0</v>
      </c>
      <c r="Z35" s="216">
        <v>0</v>
      </c>
      <c r="AA35" s="213"/>
      <c r="AB35" s="245">
        <v>100</v>
      </c>
      <c r="AC35" s="245">
        <v>0</v>
      </c>
      <c r="AD35" s="216">
        <f t="shared" si="7"/>
        <v>0</v>
      </c>
      <c r="AE35" s="213"/>
      <c r="AF35" s="245">
        <v>100</v>
      </c>
      <c r="AG35" s="163">
        <v>100</v>
      </c>
      <c r="AH35" s="245">
        <v>0</v>
      </c>
      <c r="AI35" s="216">
        <f t="shared" si="3"/>
        <v>0</v>
      </c>
      <c r="AJ35" s="216"/>
      <c r="AK35" s="398">
        <v>100</v>
      </c>
      <c r="AL35" s="398">
        <v>0</v>
      </c>
      <c r="AM35" s="396">
        <f t="shared" si="11"/>
        <v>0</v>
      </c>
      <c r="AN35" s="397"/>
      <c r="AO35" s="157">
        <v>100</v>
      </c>
      <c r="AP35" s="399">
        <f t="shared" si="9"/>
        <v>0</v>
      </c>
      <c r="AQ35" s="396">
        <f t="shared" si="12"/>
        <v>0</v>
      </c>
      <c r="AR35" s="288"/>
    </row>
    <row r="36" spans="1:44" s="211" customFormat="1" x14ac:dyDescent="0.25">
      <c r="A36" s="211" t="s">
        <v>551</v>
      </c>
      <c r="B36" s="214" t="str">
        <f t="shared" si="6"/>
        <v>5589</v>
      </c>
      <c r="C36" s="211" t="s">
        <v>1604</v>
      </c>
      <c r="D36" s="245">
        <v>750</v>
      </c>
      <c r="E36" s="245">
        <v>1079.99</v>
      </c>
      <c r="F36" s="216"/>
      <c r="G36" s="213"/>
      <c r="H36" s="245">
        <v>750</v>
      </c>
      <c r="I36" s="245">
        <v>258.10000000000002</v>
      </c>
      <c r="J36" s="216">
        <v>0</v>
      </c>
      <c r="K36" s="213"/>
      <c r="L36" s="245">
        <v>700</v>
      </c>
      <c r="M36" s="245">
        <v>653.41999999999996</v>
      </c>
      <c r="N36" s="216">
        <v>-6.6666666666666666E-2</v>
      </c>
      <c r="O36" s="213"/>
      <c r="P36" s="245">
        <v>500</v>
      </c>
      <c r="Q36" s="245">
        <v>394.28</v>
      </c>
      <c r="R36" s="216">
        <v>-0.2857142857142857</v>
      </c>
      <c r="S36" s="213"/>
      <c r="T36" s="245">
        <v>700</v>
      </c>
      <c r="U36" s="245">
        <v>524.85</v>
      </c>
      <c r="V36" s="216">
        <v>0.4</v>
      </c>
      <c r="W36" s="213"/>
      <c r="X36" s="245">
        <v>700</v>
      </c>
      <c r="Y36" s="245">
        <v>293.91000000000003</v>
      </c>
      <c r="Z36" s="216">
        <v>0</v>
      </c>
      <c r="AA36" s="213"/>
      <c r="AB36" s="245">
        <v>600</v>
      </c>
      <c r="AC36" s="245">
        <v>201.22</v>
      </c>
      <c r="AD36" s="216">
        <f t="shared" si="7"/>
        <v>-0.14285714285714285</v>
      </c>
      <c r="AE36" s="213"/>
      <c r="AF36" s="245">
        <v>600</v>
      </c>
      <c r="AG36" s="163">
        <v>600</v>
      </c>
      <c r="AH36" s="245">
        <v>131.06</v>
      </c>
      <c r="AI36" s="216">
        <f t="shared" si="3"/>
        <v>0</v>
      </c>
      <c r="AJ36" s="216"/>
      <c r="AK36" s="398">
        <v>600</v>
      </c>
      <c r="AL36" s="398">
        <v>0</v>
      </c>
      <c r="AM36" s="396">
        <f t="shared" si="11"/>
        <v>0</v>
      </c>
      <c r="AN36" s="397"/>
      <c r="AO36" s="157">
        <v>600</v>
      </c>
      <c r="AP36" s="399">
        <f t="shared" si="9"/>
        <v>0</v>
      </c>
      <c r="AQ36" s="396">
        <f t="shared" si="12"/>
        <v>0</v>
      </c>
      <c r="AR36" s="288"/>
    </row>
    <row r="37" spans="1:44" s="211" customFormat="1" x14ac:dyDescent="0.25">
      <c r="A37" s="211" t="s">
        <v>552</v>
      </c>
      <c r="B37" s="214" t="str">
        <f t="shared" si="6"/>
        <v>5593</v>
      </c>
      <c r="C37" s="211" t="s">
        <v>1860</v>
      </c>
      <c r="D37" s="245">
        <v>400</v>
      </c>
      <c r="E37" s="245">
        <v>1012.92</v>
      </c>
      <c r="F37" s="216"/>
      <c r="G37" s="213"/>
      <c r="H37" s="245">
        <v>400</v>
      </c>
      <c r="I37" s="245">
        <v>445.22</v>
      </c>
      <c r="J37" s="216">
        <v>0</v>
      </c>
      <c r="K37" s="213"/>
      <c r="L37" s="245">
        <v>500</v>
      </c>
      <c r="M37" s="245">
        <v>2623.72</v>
      </c>
      <c r="N37" s="216">
        <v>0.25</v>
      </c>
      <c r="O37" s="213"/>
      <c r="P37" s="245">
        <v>500</v>
      </c>
      <c r="Q37" s="245">
        <v>392.28</v>
      </c>
      <c r="R37" s="216">
        <v>0</v>
      </c>
      <c r="S37" s="213"/>
      <c r="T37" s="245">
        <v>500</v>
      </c>
      <c r="U37" s="245">
        <v>164.22</v>
      </c>
      <c r="V37" s="216">
        <v>0</v>
      </c>
      <c r="W37" s="213"/>
      <c r="X37" s="245">
        <v>500</v>
      </c>
      <c r="Y37" s="245">
        <v>0</v>
      </c>
      <c r="Z37" s="216">
        <v>0</v>
      </c>
      <c r="AA37" s="213"/>
      <c r="AB37" s="245">
        <v>400</v>
      </c>
      <c r="AC37" s="245">
        <v>207.27</v>
      </c>
      <c r="AD37" s="216">
        <f t="shared" si="7"/>
        <v>-0.2</v>
      </c>
      <c r="AE37" s="213"/>
      <c r="AF37" s="245">
        <v>400</v>
      </c>
      <c r="AG37" s="163">
        <v>400</v>
      </c>
      <c r="AH37" s="245">
        <v>300.55</v>
      </c>
      <c r="AI37" s="216">
        <f t="shared" si="3"/>
        <v>0</v>
      </c>
      <c r="AJ37" s="216"/>
      <c r="AK37" s="398">
        <v>400</v>
      </c>
      <c r="AL37" s="398">
        <v>226.96</v>
      </c>
      <c r="AM37" s="396">
        <f t="shared" si="11"/>
        <v>0</v>
      </c>
      <c r="AN37" s="397"/>
      <c r="AO37" s="157">
        <v>400</v>
      </c>
      <c r="AP37" s="399">
        <f t="shared" si="9"/>
        <v>0</v>
      </c>
      <c r="AQ37" s="396">
        <f t="shared" si="12"/>
        <v>0</v>
      </c>
      <c r="AR37" s="288"/>
    </row>
    <row r="38" spans="1:44" s="211" customFormat="1" x14ac:dyDescent="0.25">
      <c r="A38" s="211" t="s">
        <v>553</v>
      </c>
      <c r="B38" s="214" t="str">
        <f t="shared" si="6"/>
        <v>5595</v>
      </c>
      <c r="C38" s="211" t="s">
        <v>1654</v>
      </c>
      <c r="D38" s="245">
        <v>0</v>
      </c>
      <c r="E38" s="245">
        <v>0</v>
      </c>
      <c r="F38" s="216"/>
      <c r="G38" s="213"/>
      <c r="H38" s="245">
        <v>0</v>
      </c>
      <c r="I38" s="245">
        <v>99.5</v>
      </c>
      <c r="J38" s="216" t="e">
        <v>#DIV/0!</v>
      </c>
      <c r="K38" s="213"/>
      <c r="L38" s="245">
        <v>150</v>
      </c>
      <c r="M38" s="245">
        <v>163.5</v>
      </c>
      <c r="N38" s="216" t="e">
        <v>#DIV/0!</v>
      </c>
      <c r="O38" s="213"/>
      <c r="P38" s="245">
        <v>200</v>
      </c>
      <c r="Q38" s="245">
        <v>75.66</v>
      </c>
      <c r="R38" s="216">
        <v>0.33333333333333331</v>
      </c>
      <c r="S38" s="213"/>
      <c r="T38" s="245">
        <v>200</v>
      </c>
      <c r="U38" s="245">
        <v>261.39999999999998</v>
      </c>
      <c r="V38" s="216">
        <v>0</v>
      </c>
      <c r="W38" s="213"/>
      <c r="X38" s="245">
        <v>200</v>
      </c>
      <c r="Y38" s="245">
        <v>289.45</v>
      </c>
      <c r="Z38" s="216">
        <v>0</v>
      </c>
      <c r="AA38" s="213"/>
      <c r="AB38" s="245">
        <v>250</v>
      </c>
      <c r="AC38" s="245">
        <v>92.75</v>
      </c>
      <c r="AD38" s="216">
        <f t="shared" si="7"/>
        <v>0.25</v>
      </c>
      <c r="AE38" s="213"/>
      <c r="AF38" s="245">
        <v>300</v>
      </c>
      <c r="AG38" s="163">
        <v>300</v>
      </c>
      <c r="AH38" s="245">
        <v>288.5</v>
      </c>
      <c r="AI38" s="216">
        <f t="shared" si="3"/>
        <v>0.2</v>
      </c>
      <c r="AJ38" s="216"/>
      <c r="AK38" s="398">
        <v>300</v>
      </c>
      <c r="AL38" s="398">
        <v>58.75</v>
      </c>
      <c r="AM38" s="396">
        <f t="shared" si="11"/>
        <v>0</v>
      </c>
      <c r="AN38" s="397"/>
      <c r="AO38" s="157">
        <v>300</v>
      </c>
      <c r="AP38" s="399">
        <f t="shared" si="9"/>
        <v>0</v>
      </c>
      <c r="AQ38" s="396">
        <f t="shared" si="12"/>
        <v>0</v>
      </c>
      <c r="AR38" s="288"/>
    </row>
    <row r="39" spans="1:44" s="211" customFormat="1" x14ac:dyDescent="0.25">
      <c r="A39" s="211" t="s">
        <v>554</v>
      </c>
      <c r="B39" s="214" t="str">
        <f t="shared" si="6"/>
        <v>5710</v>
      </c>
      <c r="C39" s="211" t="s">
        <v>1605</v>
      </c>
      <c r="D39" s="245">
        <v>1500</v>
      </c>
      <c r="E39" s="245">
        <v>1338.07</v>
      </c>
      <c r="F39" s="216"/>
      <c r="G39" s="213"/>
      <c r="H39" s="245">
        <v>1500</v>
      </c>
      <c r="I39" s="245">
        <v>1780.62</v>
      </c>
      <c r="J39" s="216">
        <v>0</v>
      </c>
      <c r="K39" s="213"/>
      <c r="L39" s="245">
        <v>1500</v>
      </c>
      <c r="M39" s="245">
        <v>876.13</v>
      </c>
      <c r="N39" s="216">
        <v>0</v>
      </c>
      <c r="O39" s="213"/>
      <c r="P39" s="245">
        <v>1500</v>
      </c>
      <c r="Q39" s="245">
        <v>1223.4100000000001</v>
      </c>
      <c r="R39" s="216">
        <v>0</v>
      </c>
      <c r="S39" s="213"/>
      <c r="T39" s="245">
        <v>1500</v>
      </c>
      <c r="U39" s="245">
        <v>1217.08</v>
      </c>
      <c r="V39" s="216">
        <v>0</v>
      </c>
      <c r="W39" s="213"/>
      <c r="X39" s="245">
        <v>1500</v>
      </c>
      <c r="Y39" s="245">
        <v>893.43</v>
      </c>
      <c r="Z39" s="216">
        <v>0</v>
      </c>
      <c r="AA39" s="213"/>
      <c r="AB39" s="245">
        <v>1500</v>
      </c>
      <c r="AC39" s="245">
        <v>1042.72</v>
      </c>
      <c r="AD39" s="216">
        <f t="shared" si="7"/>
        <v>0</v>
      </c>
      <c r="AE39" s="213"/>
      <c r="AF39" s="245">
        <v>1500</v>
      </c>
      <c r="AG39" s="163">
        <v>1500</v>
      </c>
      <c r="AH39" s="245">
        <v>2040.66</v>
      </c>
      <c r="AI39" s="216">
        <f t="shared" si="3"/>
        <v>0</v>
      </c>
      <c r="AJ39" s="216"/>
      <c r="AK39" s="398">
        <v>1500</v>
      </c>
      <c r="AL39" s="398">
        <v>161.5</v>
      </c>
      <c r="AM39" s="396">
        <f t="shared" si="11"/>
        <v>0</v>
      </c>
      <c r="AN39" s="397"/>
      <c r="AO39" s="157">
        <v>1500</v>
      </c>
      <c r="AP39" s="399">
        <f t="shared" si="9"/>
        <v>0</v>
      </c>
      <c r="AQ39" s="396">
        <f t="shared" si="12"/>
        <v>0</v>
      </c>
      <c r="AR39" s="288"/>
    </row>
    <row r="40" spans="1:44" s="211" customFormat="1" x14ac:dyDescent="0.25">
      <c r="A40" s="211" t="s">
        <v>555</v>
      </c>
      <c r="B40" s="214" t="str">
        <f t="shared" si="6"/>
        <v>5711</v>
      </c>
      <c r="C40" s="211" t="s">
        <v>1606</v>
      </c>
      <c r="D40" s="245">
        <v>6600</v>
      </c>
      <c r="E40" s="245">
        <v>3795.57</v>
      </c>
      <c r="F40" s="216"/>
      <c r="G40" s="213"/>
      <c r="H40" s="245">
        <v>5000</v>
      </c>
      <c r="I40" s="245">
        <v>3708.76</v>
      </c>
      <c r="J40" s="216">
        <v>-0.24242424242424243</v>
      </c>
      <c r="K40" s="213"/>
      <c r="L40" s="245">
        <v>4000</v>
      </c>
      <c r="M40" s="245">
        <v>3081.97</v>
      </c>
      <c r="N40" s="216">
        <v>-0.2</v>
      </c>
      <c r="O40" s="213"/>
      <c r="P40" s="245">
        <v>3900</v>
      </c>
      <c r="Q40" s="245">
        <v>2692.18</v>
      </c>
      <c r="R40" s="216">
        <v>-2.5000000000000001E-2</v>
      </c>
      <c r="S40" s="213"/>
      <c r="T40" s="245">
        <v>3700</v>
      </c>
      <c r="U40" s="245">
        <v>3145.35</v>
      </c>
      <c r="V40" s="216">
        <v>-5.128205128205128E-2</v>
      </c>
      <c r="W40" s="213"/>
      <c r="X40" s="245">
        <v>3700</v>
      </c>
      <c r="Y40" s="245">
        <v>3079.46</v>
      </c>
      <c r="Z40" s="216">
        <v>0</v>
      </c>
      <c r="AA40" s="213"/>
      <c r="AB40" s="245">
        <v>3300</v>
      </c>
      <c r="AC40" s="245">
        <v>3105.93</v>
      </c>
      <c r="AD40" s="216">
        <f t="shared" si="7"/>
        <v>-0.10810810810810811</v>
      </c>
      <c r="AE40" s="213"/>
      <c r="AF40" s="245">
        <v>3300</v>
      </c>
      <c r="AG40" s="163">
        <v>3300</v>
      </c>
      <c r="AH40" s="245">
        <v>2448.5700000000002</v>
      </c>
      <c r="AI40" s="216">
        <f t="shared" si="3"/>
        <v>0</v>
      </c>
      <c r="AJ40" s="216"/>
      <c r="AK40" s="398">
        <v>3300</v>
      </c>
      <c r="AL40" s="398">
        <v>1134.47</v>
      </c>
      <c r="AM40" s="396">
        <f t="shared" si="11"/>
        <v>0</v>
      </c>
      <c r="AN40" s="397"/>
      <c r="AO40" s="157">
        <v>3300</v>
      </c>
      <c r="AP40" s="399">
        <f t="shared" si="9"/>
        <v>0</v>
      </c>
      <c r="AQ40" s="396">
        <f t="shared" si="12"/>
        <v>0</v>
      </c>
      <c r="AR40" s="288"/>
    </row>
    <row r="41" spans="1:44" s="211" customFormat="1" x14ac:dyDescent="0.25">
      <c r="A41" s="211" t="s">
        <v>556</v>
      </c>
      <c r="B41" s="214" t="str">
        <f t="shared" si="6"/>
        <v>5730</v>
      </c>
      <c r="C41" s="211" t="s">
        <v>1594</v>
      </c>
      <c r="D41" s="245">
        <v>400</v>
      </c>
      <c r="E41" s="245">
        <v>1036.25</v>
      </c>
      <c r="F41" s="216"/>
      <c r="G41" s="213"/>
      <c r="H41" s="245">
        <v>700</v>
      </c>
      <c r="I41" s="245">
        <v>815</v>
      </c>
      <c r="J41" s="216">
        <v>0.75</v>
      </c>
      <c r="K41" s="213"/>
      <c r="L41" s="245">
        <v>700</v>
      </c>
      <c r="M41" s="245">
        <v>625</v>
      </c>
      <c r="N41" s="216">
        <v>0</v>
      </c>
      <c r="O41" s="213"/>
      <c r="P41" s="245">
        <v>800</v>
      </c>
      <c r="Q41" s="245">
        <v>1140</v>
      </c>
      <c r="R41" s="216">
        <v>0.14285714285714285</v>
      </c>
      <c r="S41" s="213"/>
      <c r="T41" s="245">
        <v>700</v>
      </c>
      <c r="U41" s="245">
        <v>1095</v>
      </c>
      <c r="V41" s="216">
        <v>-0.125</v>
      </c>
      <c r="W41" s="213"/>
      <c r="X41" s="245">
        <v>900</v>
      </c>
      <c r="Y41" s="245">
        <v>1065</v>
      </c>
      <c r="Z41" s="216">
        <v>0.2857142857142857</v>
      </c>
      <c r="AA41" s="213"/>
      <c r="AB41" s="245">
        <v>900</v>
      </c>
      <c r="AC41" s="245">
        <v>840</v>
      </c>
      <c r="AD41" s="216">
        <f t="shared" si="7"/>
        <v>0</v>
      </c>
      <c r="AE41" s="213"/>
      <c r="AF41" s="245">
        <v>1100</v>
      </c>
      <c r="AG41" s="163">
        <v>1100</v>
      </c>
      <c r="AH41" s="245">
        <v>1595</v>
      </c>
      <c r="AI41" s="216">
        <f t="shared" si="3"/>
        <v>0.22222222222222221</v>
      </c>
      <c r="AJ41" s="216"/>
      <c r="AK41" s="398">
        <v>1600</v>
      </c>
      <c r="AL41" s="398">
        <v>740</v>
      </c>
      <c r="AM41" s="396">
        <f t="shared" si="11"/>
        <v>0.45454545454545453</v>
      </c>
      <c r="AN41" s="397"/>
      <c r="AO41" s="157">
        <v>1600</v>
      </c>
      <c r="AP41" s="399">
        <f t="shared" si="9"/>
        <v>0</v>
      </c>
      <c r="AQ41" s="396">
        <f t="shared" si="12"/>
        <v>0</v>
      </c>
      <c r="AR41" s="288"/>
    </row>
    <row r="42" spans="1:44" s="211" customFormat="1" x14ac:dyDescent="0.25">
      <c r="A42" s="211" t="s">
        <v>557</v>
      </c>
      <c r="B42" s="214" t="str">
        <f t="shared" si="6"/>
        <v>5850</v>
      </c>
      <c r="C42" s="211" t="s">
        <v>1674</v>
      </c>
      <c r="D42" s="245">
        <v>3800</v>
      </c>
      <c r="E42" s="245">
        <v>3327.91</v>
      </c>
      <c r="F42" s="216"/>
      <c r="G42" s="213"/>
      <c r="H42" s="245">
        <v>3600</v>
      </c>
      <c r="I42" s="245">
        <v>4794.9799999999996</v>
      </c>
      <c r="J42" s="216">
        <v>-5.2631578947368418E-2</v>
      </c>
      <c r="K42" s="213"/>
      <c r="L42" s="245">
        <v>3400</v>
      </c>
      <c r="M42" s="245">
        <v>1139.97</v>
      </c>
      <c r="N42" s="216">
        <v>-5.5555555555555552E-2</v>
      </c>
      <c r="O42" s="213"/>
      <c r="P42" s="245">
        <v>3400</v>
      </c>
      <c r="Q42" s="245">
        <v>4238.62</v>
      </c>
      <c r="R42" s="216">
        <v>0</v>
      </c>
      <c r="S42" s="213"/>
      <c r="T42" s="245">
        <v>3400</v>
      </c>
      <c r="U42" s="245">
        <v>5365.21</v>
      </c>
      <c r="V42" s="216">
        <v>0</v>
      </c>
      <c r="W42" s="213"/>
      <c r="X42" s="245">
        <v>3400</v>
      </c>
      <c r="Y42" s="245">
        <v>4331.8599999999997</v>
      </c>
      <c r="Z42" s="216">
        <v>0</v>
      </c>
      <c r="AA42" s="213"/>
      <c r="AB42" s="245">
        <v>3400</v>
      </c>
      <c r="AC42" s="245">
        <v>4010</v>
      </c>
      <c r="AD42" s="216">
        <f t="shared" si="7"/>
        <v>0</v>
      </c>
      <c r="AE42" s="213"/>
      <c r="AF42" s="245">
        <v>3500</v>
      </c>
      <c r="AG42" s="163">
        <v>3500</v>
      </c>
      <c r="AH42" s="245">
        <v>1775.77</v>
      </c>
      <c r="AI42" s="216">
        <f t="shared" si="3"/>
        <v>2.9411764705882353E-2</v>
      </c>
      <c r="AJ42" s="216"/>
      <c r="AK42" s="398">
        <v>3500</v>
      </c>
      <c r="AL42" s="398">
        <v>150</v>
      </c>
      <c r="AM42" s="396">
        <f t="shared" si="11"/>
        <v>0</v>
      </c>
      <c r="AN42" s="397"/>
      <c r="AO42" s="157">
        <v>3500</v>
      </c>
      <c r="AP42" s="399">
        <f t="shared" si="9"/>
        <v>0</v>
      </c>
      <c r="AQ42" s="396">
        <f t="shared" si="12"/>
        <v>0</v>
      </c>
      <c r="AR42" s="288"/>
    </row>
    <row r="43" spans="1:44" s="211" customFormat="1" x14ac:dyDescent="0.25">
      <c r="A43" s="211" t="s">
        <v>558</v>
      </c>
      <c r="B43" s="214" t="str">
        <f t="shared" si="6"/>
        <v>5870</v>
      </c>
      <c r="C43" s="211" t="s">
        <v>1675</v>
      </c>
      <c r="D43" s="245">
        <v>5000</v>
      </c>
      <c r="E43" s="245">
        <v>3995.03</v>
      </c>
      <c r="F43" s="216"/>
      <c r="G43" s="213"/>
      <c r="H43" s="245">
        <v>5000</v>
      </c>
      <c r="I43" s="245">
        <v>4119.62</v>
      </c>
      <c r="J43" s="216">
        <v>0</v>
      </c>
      <c r="K43" s="213"/>
      <c r="L43" s="245">
        <v>4500</v>
      </c>
      <c r="M43" s="245">
        <v>3914.43</v>
      </c>
      <c r="N43" s="216">
        <v>-0.1</v>
      </c>
      <c r="O43" s="213"/>
      <c r="P43" s="245">
        <v>4500</v>
      </c>
      <c r="Q43" s="245">
        <v>7674.81</v>
      </c>
      <c r="R43" s="216">
        <v>0</v>
      </c>
      <c r="S43" s="213"/>
      <c r="T43" s="245">
        <v>4500</v>
      </c>
      <c r="U43" s="245">
        <v>3505</v>
      </c>
      <c r="V43" s="216">
        <v>0</v>
      </c>
      <c r="W43" s="213"/>
      <c r="X43" s="245">
        <v>4500</v>
      </c>
      <c r="Y43" s="245">
        <v>3948.75</v>
      </c>
      <c r="Z43" s="216">
        <v>0</v>
      </c>
      <c r="AA43" s="213"/>
      <c r="AB43" s="245">
        <v>4500</v>
      </c>
      <c r="AC43" s="245">
        <v>1269.49</v>
      </c>
      <c r="AD43" s="216">
        <f t="shared" si="7"/>
        <v>0</v>
      </c>
      <c r="AE43" s="213"/>
      <c r="AF43" s="245">
        <v>4500</v>
      </c>
      <c r="AG43" s="163">
        <v>4500</v>
      </c>
      <c r="AH43" s="245">
        <v>2180</v>
      </c>
      <c r="AI43" s="216">
        <f t="shared" si="3"/>
        <v>0</v>
      </c>
      <c r="AJ43" s="216"/>
      <c r="AK43" s="398">
        <v>4500</v>
      </c>
      <c r="AL43" s="398">
        <v>3046</v>
      </c>
      <c r="AM43" s="396">
        <f t="shared" si="11"/>
        <v>0</v>
      </c>
      <c r="AN43" s="397"/>
      <c r="AO43" s="157">
        <v>4500</v>
      </c>
      <c r="AP43" s="399">
        <f t="shared" si="9"/>
        <v>0</v>
      </c>
      <c r="AQ43" s="396">
        <f t="shared" si="12"/>
        <v>0</v>
      </c>
      <c r="AR43" s="288"/>
    </row>
    <row r="44" spans="1:44" s="211" customFormat="1" x14ac:dyDescent="0.25">
      <c r="A44" s="211" t="s">
        <v>559</v>
      </c>
      <c r="B44" s="214" t="str">
        <f t="shared" si="6"/>
        <v>5874</v>
      </c>
      <c r="C44" s="211" t="s">
        <v>1861</v>
      </c>
      <c r="D44" s="245">
        <v>3000</v>
      </c>
      <c r="E44" s="245">
        <v>894</v>
      </c>
      <c r="F44" s="216"/>
      <c r="G44" s="213"/>
      <c r="H44" s="245">
        <v>3000</v>
      </c>
      <c r="I44" s="245">
        <v>899.63</v>
      </c>
      <c r="J44" s="216">
        <v>0</v>
      </c>
      <c r="K44" s="213"/>
      <c r="L44" s="245">
        <v>2000</v>
      </c>
      <c r="M44" s="245">
        <v>510</v>
      </c>
      <c r="N44" s="216">
        <v>-0.33333333333333331</v>
      </c>
      <c r="O44" s="213"/>
      <c r="P44" s="245">
        <v>2000</v>
      </c>
      <c r="Q44" s="245">
        <v>2066</v>
      </c>
      <c r="R44" s="216">
        <v>0</v>
      </c>
      <c r="S44" s="213"/>
      <c r="T44" s="245">
        <v>4000</v>
      </c>
      <c r="U44" s="245">
        <v>2641.41</v>
      </c>
      <c r="V44" s="216">
        <v>1</v>
      </c>
      <c r="W44" s="213"/>
      <c r="X44" s="245">
        <v>4000</v>
      </c>
      <c r="Y44" s="245">
        <v>2770</v>
      </c>
      <c r="Z44" s="216">
        <v>0</v>
      </c>
      <c r="AA44" s="213"/>
      <c r="AB44" s="245">
        <v>4000</v>
      </c>
      <c r="AC44" s="245">
        <v>1433.5</v>
      </c>
      <c r="AD44" s="216">
        <f t="shared" si="7"/>
        <v>0</v>
      </c>
      <c r="AE44" s="213"/>
      <c r="AF44" s="245">
        <v>3500</v>
      </c>
      <c r="AG44" s="163">
        <v>3500</v>
      </c>
      <c r="AH44" s="245">
        <v>3230</v>
      </c>
      <c r="AI44" s="216">
        <f>(AG44-AB44)/AB44</f>
        <v>-0.125</v>
      </c>
      <c r="AJ44" s="216"/>
      <c r="AK44" s="398">
        <v>14000</v>
      </c>
      <c r="AL44" s="398">
        <v>4217</v>
      </c>
      <c r="AM44" s="396">
        <f t="shared" si="11"/>
        <v>3</v>
      </c>
      <c r="AN44" s="397"/>
      <c r="AO44" s="163">
        <v>10000</v>
      </c>
      <c r="AP44" s="399">
        <f t="shared" si="9"/>
        <v>-4000</v>
      </c>
      <c r="AQ44" s="396">
        <f t="shared" si="12"/>
        <v>-0.2857142857142857</v>
      </c>
      <c r="AR44" s="288"/>
    </row>
    <row r="45" spans="1:44" s="114" customFormat="1" x14ac:dyDescent="0.25">
      <c r="A45" s="219"/>
      <c r="B45" s="219"/>
      <c r="C45" s="219" t="s">
        <v>279</v>
      </c>
      <c r="D45" s="220">
        <f>SUM(D17:D44)</f>
        <v>67600</v>
      </c>
      <c r="E45" s="220">
        <f>SUM(E17:E44)</f>
        <v>54113.909999999989</v>
      </c>
      <c r="F45" s="221">
        <v>-6.54E-2</v>
      </c>
      <c r="G45" s="219"/>
      <c r="H45" s="220">
        <f>SUM(H17:H44)</f>
        <v>66550</v>
      </c>
      <c r="I45" s="220">
        <f>SUM(I17:I44)</f>
        <v>67027.080000000016</v>
      </c>
      <c r="J45" s="221">
        <f>(H45-D45)/D45</f>
        <v>-1.5532544378698224E-2</v>
      </c>
      <c r="K45" s="219"/>
      <c r="L45" s="220">
        <f>SUM(L17:L44)</f>
        <v>62200</v>
      </c>
      <c r="M45" s="220">
        <f>SUM(M17:M44)</f>
        <v>61334.539999999994</v>
      </c>
      <c r="N45" s="221">
        <f>(L45-H45)/H45</f>
        <v>-6.5364387678437261E-2</v>
      </c>
      <c r="O45" s="219"/>
      <c r="P45" s="220">
        <f>SUM(P17:P44)</f>
        <v>61350</v>
      </c>
      <c r="Q45" s="220">
        <f>SUM(Q17:Q44)</f>
        <v>60181.72</v>
      </c>
      <c r="R45" s="221">
        <f>(P45-L45)/L45</f>
        <v>-1.3665594855305467E-2</v>
      </c>
      <c r="S45" s="219"/>
      <c r="T45" s="220">
        <f>SUM(T17:T44)</f>
        <v>64250</v>
      </c>
      <c r="U45" s="220">
        <f>SUM(U17:U44)</f>
        <v>58967.06</v>
      </c>
      <c r="V45" s="221">
        <f>(T45-P45)/P45</f>
        <v>4.7269763651181747E-2</v>
      </c>
      <c r="W45" s="219"/>
      <c r="X45" s="220">
        <f>SUM(X17:X44)</f>
        <v>72350</v>
      </c>
      <c r="Y45" s="220">
        <f>SUM(Y17:Y44)</f>
        <v>69584.78</v>
      </c>
      <c r="Z45" s="221">
        <f>(X45-T45)/T45</f>
        <v>0.12607003891050583</v>
      </c>
      <c r="AA45" s="219"/>
      <c r="AB45" s="220">
        <f>SUM(AB17:AB44)</f>
        <v>69400</v>
      </c>
      <c r="AC45" s="220">
        <f>SUM(AC17:AC44)</f>
        <v>64342.570000000007</v>
      </c>
      <c r="AD45" s="221">
        <f>(AB45-X45)/X45</f>
        <v>-4.0774015203870077E-2</v>
      </c>
      <c r="AE45" s="219"/>
      <c r="AF45" s="220">
        <f>SUM(AF17:AF44)</f>
        <v>69575</v>
      </c>
      <c r="AG45" s="220">
        <f>SUM(AG17:AG44)</f>
        <v>69575</v>
      </c>
      <c r="AH45" s="220">
        <f>SUM(AH17:AH44)</f>
        <v>53562.44</v>
      </c>
      <c r="AI45" s="221">
        <f>(AG45-AB45)/AB45</f>
        <v>2.5216138328530259E-3</v>
      </c>
      <c r="AJ45" s="221"/>
      <c r="AK45" s="401">
        <f>SUM(AK17:AK44)</f>
        <v>82375</v>
      </c>
      <c r="AL45" s="401">
        <f>SUM(AL17:AL44)</f>
        <v>33803.61</v>
      </c>
      <c r="AM45" s="221">
        <f>(AK45-AG45)/AG45</f>
        <v>0.18397412863816026</v>
      </c>
      <c r="AN45" s="219"/>
      <c r="AO45" s="223">
        <f>SUM(AO17:AO44)</f>
        <v>79400</v>
      </c>
      <c r="AP45" s="223">
        <f>SUM(AP17:AP44)</f>
        <v>-2975</v>
      </c>
      <c r="AQ45" s="221">
        <f>(AO45-AK45)/AK45</f>
        <v>-3.6115326251896812E-2</v>
      </c>
      <c r="AR45" s="219"/>
    </row>
    <row r="46" spans="1:44" s="211" customFormat="1" x14ac:dyDescent="0.25">
      <c r="D46" s="112"/>
      <c r="E46" s="112"/>
      <c r="F46" s="216"/>
      <c r="G46" s="213"/>
      <c r="H46" s="112"/>
      <c r="I46" s="112"/>
      <c r="J46" s="216"/>
      <c r="K46" s="213"/>
      <c r="L46" s="112"/>
      <c r="M46" s="112"/>
      <c r="N46" s="216"/>
      <c r="O46" s="213"/>
      <c r="P46" s="112"/>
      <c r="Q46" s="112"/>
      <c r="R46" s="216"/>
      <c r="S46" s="213"/>
      <c r="T46" s="112"/>
      <c r="U46" s="112"/>
      <c r="V46" s="216"/>
      <c r="W46" s="213"/>
      <c r="X46" s="112"/>
      <c r="Y46" s="112"/>
      <c r="Z46" s="216"/>
      <c r="AA46" s="213"/>
      <c r="AB46" s="112"/>
      <c r="AC46" s="112"/>
      <c r="AD46" s="216"/>
      <c r="AE46" s="213"/>
      <c r="AF46" s="112"/>
      <c r="AG46" s="112"/>
      <c r="AH46" s="112"/>
      <c r="AI46" s="216"/>
      <c r="AJ46" s="216"/>
      <c r="AK46" s="112"/>
      <c r="AL46" s="112"/>
      <c r="AM46" s="396"/>
      <c r="AN46" s="397"/>
      <c r="AO46" s="212"/>
      <c r="AP46" s="212"/>
      <c r="AQ46" s="396"/>
    </row>
    <row r="47" spans="1:44" s="114" customFormat="1" ht="12.75" x14ac:dyDescent="0.2">
      <c r="A47" s="228"/>
      <c r="B47" s="228"/>
      <c r="C47" s="233" t="s">
        <v>280</v>
      </c>
      <c r="D47" s="230">
        <f>D14+D45</f>
        <v>125650</v>
      </c>
      <c r="E47" s="230">
        <f>E14+E45</f>
        <v>110102.52999999998</v>
      </c>
      <c r="F47" s="231">
        <v>4.4600000000000001E-2</v>
      </c>
      <c r="G47" s="228"/>
      <c r="H47" s="230">
        <f>H14+H45</f>
        <v>133122</v>
      </c>
      <c r="I47" s="230">
        <f>I14+I45</f>
        <v>133838.98000000001</v>
      </c>
      <c r="J47" s="231">
        <f>(H47-D47)/D47</f>
        <v>5.9466772781536011E-2</v>
      </c>
      <c r="K47" s="228"/>
      <c r="L47" s="230">
        <f>L14+L45</f>
        <v>139060.54</v>
      </c>
      <c r="M47" s="230">
        <f>M14+M45</f>
        <v>134718.41999999998</v>
      </c>
      <c r="N47" s="231">
        <f>(L47-H47)/H47</f>
        <v>4.4609756463995495E-2</v>
      </c>
      <c r="O47" s="228"/>
      <c r="P47" s="230">
        <f>P14+P45</f>
        <v>143426.52000000002</v>
      </c>
      <c r="Q47" s="230">
        <f>Q14+Q45</f>
        <v>134794.52000000002</v>
      </c>
      <c r="R47" s="231">
        <f>(P47-L47)/L47</f>
        <v>3.1396253746749508E-2</v>
      </c>
      <c r="S47" s="228"/>
      <c r="T47" s="230">
        <f>T14+T45</f>
        <v>148785</v>
      </c>
      <c r="U47" s="230">
        <f>U14+U45</f>
        <v>135726.28</v>
      </c>
      <c r="V47" s="231">
        <f>(T47-P47)/P47</f>
        <v>3.7360454677419358E-2</v>
      </c>
      <c r="W47" s="228"/>
      <c r="X47" s="230">
        <f>X14+X45</f>
        <v>157778.69</v>
      </c>
      <c r="Y47" s="230">
        <f>Y14+Y45</f>
        <v>148677.46</v>
      </c>
      <c r="Z47" s="231">
        <f>(X47-T47)/T47</f>
        <v>6.0447558557650313E-2</v>
      </c>
      <c r="AA47" s="228"/>
      <c r="AB47" s="230">
        <f>AB14+AB45</f>
        <v>156694.65</v>
      </c>
      <c r="AC47" s="230">
        <f>AC14+AC45</f>
        <v>144128.83000000002</v>
      </c>
      <c r="AD47" s="231">
        <f>(AB47-X47)/X47</f>
        <v>-6.8706363324477354E-3</v>
      </c>
      <c r="AE47" s="228"/>
      <c r="AF47" s="230" t="e">
        <f ca="1">AF14+AF45</f>
        <v>#NAME?</v>
      </c>
      <c r="AG47" s="230">
        <f>AG14+AG45</f>
        <v>172548.03</v>
      </c>
      <c r="AH47" s="230">
        <f>AH14+AH45</f>
        <v>155182.94</v>
      </c>
      <c r="AI47" s="231">
        <f>(AG47-AB47)/AB47</f>
        <v>0.10117371588627949</v>
      </c>
      <c r="AJ47" s="231"/>
      <c r="AK47" s="402">
        <f>AK14+AK45</f>
        <v>203856.6</v>
      </c>
      <c r="AL47" s="402">
        <f>AL14+AL45</f>
        <v>93182.540000000008</v>
      </c>
      <c r="AM47" s="231">
        <f>(AK47-AG47)/AG47</f>
        <v>0.18144843496619467</v>
      </c>
      <c r="AN47" s="228"/>
      <c r="AO47" s="232">
        <f>AO14+AO45</f>
        <v>221875.46</v>
      </c>
      <c r="AP47" s="232">
        <f>AP14+AP45</f>
        <v>18018.86</v>
      </c>
      <c r="AQ47" s="231">
        <f>(AO47-AK47)/AK47</f>
        <v>8.838987798285651E-2</v>
      </c>
      <c r="AR47" s="233"/>
    </row>
    <row r="48" spans="1:44" x14ac:dyDescent="0.25">
      <c r="D48" s="120"/>
      <c r="H48" s="120"/>
      <c r="L48" s="120"/>
      <c r="P48" s="120"/>
      <c r="T48" s="120"/>
      <c r="X48" s="120"/>
      <c r="AB48" s="120"/>
      <c r="AF48" s="120"/>
      <c r="AG48" s="120"/>
      <c r="AK48" s="403"/>
    </row>
    <row r="49" spans="1:54" s="111" customFormat="1" thickBot="1" x14ac:dyDescent="0.25">
      <c r="C49" s="111" t="s">
        <v>281</v>
      </c>
      <c r="D49" s="122"/>
      <c r="E49" s="121">
        <f>D47-E47</f>
        <v>15547.470000000016</v>
      </c>
      <c r="G49" s="118"/>
      <c r="H49" s="122"/>
      <c r="I49" s="121">
        <f>H47-I47</f>
        <v>-716.98000000001048</v>
      </c>
      <c r="K49" s="118"/>
      <c r="L49" s="122"/>
      <c r="M49" s="121">
        <f>L47-M47</f>
        <v>4342.1200000000244</v>
      </c>
      <c r="O49" s="118"/>
      <c r="P49" s="122"/>
      <c r="Q49" s="121">
        <f>P47-Q47</f>
        <v>8632</v>
      </c>
      <c r="S49" s="118"/>
      <c r="T49" s="122"/>
      <c r="U49" s="121">
        <f>T47-U47</f>
        <v>13058.720000000001</v>
      </c>
      <c r="W49" s="118"/>
      <c r="X49" s="122"/>
      <c r="Y49" s="121">
        <f>X47-Y47</f>
        <v>9101.2300000000105</v>
      </c>
      <c r="AA49" s="118"/>
      <c r="AB49" s="122"/>
      <c r="AC49" s="121">
        <f>AB47-AC47</f>
        <v>12565.819999999978</v>
      </c>
      <c r="AE49" s="118"/>
      <c r="AF49" s="122"/>
      <c r="AG49" s="122"/>
      <c r="AH49" s="121">
        <f>AG47-AH47</f>
        <v>17365.089999999997</v>
      </c>
      <c r="AK49" s="122"/>
      <c r="AL49" s="121">
        <f>AK47-AL47</f>
        <v>110674.06</v>
      </c>
      <c r="AN49" s="118"/>
      <c r="AO49" s="123"/>
      <c r="AP49" s="123"/>
    </row>
    <row r="50" spans="1:54" ht="14.25" thickTop="1" x14ac:dyDescent="0.25">
      <c r="D50" s="120"/>
      <c r="H50" s="120"/>
      <c r="L50" s="120"/>
      <c r="P50" s="120"/>
      <c r="T50" s="120"/>
      <c r="X50" s="120"/>
      <c r="AB50" s="120"/>
      <c r="AF50" s="120"/>
      <c r="AG50" s="120"/>
      <c r="AK50" s="403"/>
      <c r="AO50" s="240" t="s">
        <v>1195</v>
      </c>
      <c r="AP50" s="241"/>
      <c r="AQ50" s="242"/>
      <c r="AR50" s="211"/>
      <c r="AS50" s="211"/>
      <c r="AT50" s="211"/>
      <c r="AU50" s="211"/>
      <c r="AV50" s="211"/>
      <c r="AW50" s="211"/>
      <c r="AX50" s="211"/>
      <c r="AY50" s="211"/>
      <c r="AZ50" s="211"/>
      <c r="BA50" s="211"/>
      <c r="BB50" s="211"/>
    </row>
    <row r="51" spans="1:54" x14ac:dyDescent="0.25">
      <c r="A51" s="397"/>
      <c r="B51" s="397"/>
      <c r="C51" s="414"/>
      <c r="D51" s="397"/>
      <c r="E51" s="397"/>
      <c r="F51" s="397"/>
      <c r="G51" s="145"/>
      <c r="H51" s="397"/>
      <c r="I51" s="397"/>
      <c r="J51" s="397"/>
      <c r="K51" s="145"/>
      <c r="L51" s="397"/>
      <c r="M51" s="397"/>
      <c r="N51" s="397"/>
      <c r="O51" s="145"/>
      <c r="P51" s="397"/>
      <c r="Q51" s="397"/>
      <c r="R51" s="397"/>
      <c r="S51" s="145"/>
      <c r="T51" s="397"/>
      <c r="U51" s="397"/>
      <c r="V51" s="397"/>
      <c r="W51" s="145"/>
      <c r="X51" s="397"/>
      <c r="Y51" s="397"/>
      <c r="Z51" s="397"/>
      <c r="AA51" s="145"/>
      <c r="AB51" s="397"/>
      <c r="AC51" s="397"/>
      <c r="AD51" s="397"/>
      <c r="AE51" s="145"/>
      <c r="AF51" s="397"/>
      <c r="AG51" s="397"/>
      <c r="AH51" s="397"/>
      <c r="AI51" s="397"/>
      <c r="AJ51" s="397"/>
      <c r="AK51" s="397"/>
      <c r="AL51" s="397"/>
      <c r="AM51" s="397"/>
      <c r="AN51" s="145"/>
      <c r="AO51" s="243" t="s">
        <v>313</v>
      </c>
      <c r="AP51" s="5"/>
      <c r="AQ51" s="299">
        <f>AO14*0.0145</f>
        <v>2065.89417</v>
      </c>
      <c r="AR51" s="211"/>
      <c r="AS51" s="211"/>
      <c r="AT51" s="211"/>
      <c r="AU51" s="211"/>
      <c r="AV51" s="211"/>
      <c r="AW51" s="211"/>
      <c r="AX51" s="211"/>
      <c r="AY51" s="211"/>
      <c r="AZ51" s="211"/>
      <c r="BA51" s="211"/>
      <c r="BB51" s="211"/>
    </row>
    <row r="52" spans="1:54" ht="13.5" customHeight="1" x14ac:dyDescent="0.25">
      <c r="A52" s="176"/>
      <c r="B52" s="174"/>
      <c r="C52" s="176"/>
      <c r="D52" s="399"/>
      <c r="E52" s="399"/>
      <c r="F52" s="4"/>
      <c r="G52" s="397"/>
      <c r="H52" s="399"/>
      <c r="I52" s="399"/>
      <c r="J52" s="4"/>
      <c r="K52" s="397"/>
      <c r="L52" s="399"/>
      <c r="M52" s="399"/>
      <c r="N52" s="4"/>
      <c r="O52" s="397"/>
      <c r="P52" s="399"/>
      <c r="Q52" s="399"/>
      <c r="R52" s="4"/>
      <c r="S52" s="397"/>
      <c r="T52" s="399"/>
      <c r="U52" s="399"/>
      <c r="V52" s="4"/>
      <c r="W52" s="397"/>
      <c r="X52" s="399"/>
      <c r="Y52" s="399"/>
      <c r="Z52" s="4"/>
      <c r="AA52" s="397"/>
      <c r="AB52" s="399"/>
      <c r="AC52" s="399"/>
      <c r="AD52" s="4"/>
      <c r="AE52" s="397"/>
      <c r="AF52" s="399"/>
      <c r="AG52" s="399"/>
      <c r="AH52" s="399"/>
      <c r="AI52" s="4"/>
      <c r="AJ52" s="4"/>
      <c r="AK52" s="399"/>
      <c r="AL52" s="399"/>
      <c r="AM52" s="4"/>
      <c r="AO52" s="210" t="s">
        <v>314</v>
      </c>
      <c r="AP52" s="5"/>
      <c r="AQ52" s="299">
        <f>AO14*0.0009</f>
        <v>128.227914</v>
      </c>
      <c r="AR52" s="211"/>
      <c r="AS52" s="211"/>
      <c r="AT52" s="211"/>
      <c r="AU52" s="211"/>
      <c r="AV52" s="211"/>
      <c r="AW52" s="211"/>
      <c r="AX52" s="211"/>
      <c r="AY52" s="211"/>
      <c r="AZ52" s="211"/>
      <c r="BA52" s="211"/>
      <c r="BB52" s="211"/>
    </row>
    <row r="53" spans="1:54" x14ac:dyDescent="0.25">
      <c r="A53" s="175"/>
      <c r="B53" s="174"/>
      <c r="C53" s="176"/>
      <c r="D53" s="399"/>
      <c r="E53" s="399"/>
      <c r="F53" s="4"/>
      <c r="G53" s="397"/>
      <c r="H53" s="399"/>
      <c r="I53" s="399"/>
      <c r="J53" s="4"/>
      <c r="K53" s="397"/>
      <c r="L53" s="399"/>
      <c r="M53" s="399"/>
      <c r="N53" s="4"/>
      <c r="O53" s="397"/>
      <c r="P53" s="399"/>
      <c r="Q53" s="399"/>
      <c r="R53" s="4"/>
      <c r="S53" s="397"/>
      <c r="T53" s="399"/>
      <c r="U53" s="399"/>
      <c r="V53" s="4"/>
      <c r="W53" s="397"/>
      <c r="X53" s="399"/>
      <c r="Y53" s="399"/>
      <c r="Z53" s="4"/>
      <c r="AA53" s="397"/>
      <c r="AB53" s="399"/>
      <c r="AC53" s="399"/>
      <c r="AD53" s="4"/>
      <c r="AE53" s="397"/>
      <c r="AF53" s="399"/>
      <c r="AG53" s="399"/>
      <c r="AH53" s="399"/>
      <c r="AI53" s="4"/>
      <c r="AJ53" s="4"/>
      <c r="AK53" s="399"/>
      <c r="AL53" s="399"/>
      <c r="AM53" s="4"/>
      <c r="AO53" s="210" t="s">
        <v>315</v>
      </c>
      <c r="AP53" s="5"/>
      <c r="AQ53" s="299">
        <f>AO14*0.003</f>
        <v>427.42637999999999</v>
      </c>
      <c r="AR53" s="211"/>
      <c r="AS53" s="211"/>
      <c r="AT53" s="211"/>
      <c r="AU53" s="211"/>
      <c r="AV53" s="211"/>
      <c r="AW53" s="211"/>
      <c r="AX53" s="211"/>
      <c r="AY53" s="211"/>
      <c r="AZ53" s="211"/>
      <c r="BA53" s="211"/>
      <c r="BB53" s="211"/>
    </row>
    <row r="54" spans="1:54" x14ac:dyDescent="0.25">
      <c r="A54" s="175"/>
      <c r="B54" s="174"/>
      <c r="C54" s="176"/>
      <c r="D54" s="399"/>
      <c r="E54" s="399"/>
      <c r="F54" s="4"/>
      <c r="G54" s="397"/>
      <c r="H54" s="399"/>
      <c r="I54" s="399"/>
      <c r="J54" s="4"/>
      <c r="K54" s="397"/>
      <c r="L54" s="399"/>
      <c r="M54" s="399"/>
      <c r="N54" s="4"/>
      <c r="O54" s="397"/>
      <c r="P54" s="399"/>
      <c r="Q54" s="399"/>
      <c r="R54" s="4"/>
      <c r="S54" s="397"/>
      <c r="T54" s="399"/>
      <c r="U54" s="399"/>
      <c r="V54" s="4"/>
      <c r="W54" s="397"/>
      <c r="X54" s="399"/>
      <c r="Y54" s="399"/>
      <c r="Z54" s="4"/>
      <c r="AA54" s="397"/>
      <c r="AB54" s="399"/>
      <c r="AC54" s="399"/>
      <c r="AD54" s="399"/>
      <c r="AE54" s="4"/>
      <c r="AF54" s="397"/>
      <c r="AG54" s="399"/>
      <c r="AH54" s="399"/>
      <c r="AI54" s="4"/>
      <c r="AJ54" s="4"/>
      <c r="AK54" s="399"/>
      <c r="AL54" s="399"/>
      <c r="AM54" s="399"/>
      <c r="AN54" s="4"/>
      <c r="AO54" s="210" t="s">
        <v>316</v>
      </c>
      <c r="AP54" s="5"/>
      <c r="AQ54" s="299">
        <f>'County Retirement'!G18</f>
        <v>10395.742413600115</v>
      </c>
      <c r="AR54" s="211"/>
      <c r="AS54" s="211"/>
      <c r="AT54" s="211"/>
      <c r="AU54" s="211"/>
      <c r="AV54" s="211"/>
      <c r="AW54" s="211"/>
      <c r="AX54" s="211"/>
      <c r="AY54" s="211"/>
      <c r="AZ54" s="211"/>
      <c r="BA54" s="211"/>
      <c r="BB54" s="211"/>
    </row>
    <row r="55" spans="1:54" x14ac:dyDescent="0.25">
      <c r="A55" s="397"/>
      <c r="B55" s="397"/>
      <c r="C55" s="118"/>
      <c r="D55" s="415"/>
      <c r="E55" s="415"/>
      <c r="F55" s="4"/>
      <c r="G55" s="118"/>
      <c r="H55" s="415"/>
      <c r="I55" s="415"/>
      <c r="J55" s="4"/>
      <c r="K55" s="118"/>
      <c r="L55" s="415"/>
      <c r="M55" s="415"/>
      <c r="N55" s="4"/>
      <c r="O55" s="118"/>
      <c r="P55" s="415"/>
      <c r="Q55" s="415"/>
      <c r="R55" s="4"/>
      <c r="S55" s="118"/>
      <c r="T55" s="415"/>
      <c r="U55" s="415"/>
      <c r="V55" s="4"/>
      <c r="W55" s="118"/>
      <c r="X55" s="399"/>
      <c r="Y55" s="399"/>
      <c r="Z55" s="4"/>
      <c r="AA55" s="145"/>
      <c r="AB55" s="399"/>
      <c r="AC55" s="399"/>
      <c r="AD55" s="399"/>
      <c r="AE55" s="4"/>
      <c r="AF55" s="397"/>
      <c r="AG55" s="399"/>
      <c r="AH55" s="399"/>
      <c r="AI55" s="4"/>
      <c r="AJ55" s="4"/>
      <c r="AK55" s="399"/>
      <c r="AL55" s="399"/>
      <c r="AM55" s="399"/>
      <c r="AN55" s="4"/>
      <c r="AO55" s="210" t="s">
        <v>317</v>
      </c>
      <c r="AP55" s="5"/>
      <c r="AQ55" s="300">
        <f>'Health Ins'!L29</f>
        <v>10089</v>
      </c>
      <c r="AR55" s="211"/>
      <c r="AS55" s="211"/>
      <c r="AT55" s="211"/>
      <c r="AU55" s="211"/>
      <c r="AV55" s="211"/>
      <c r="AW55" s="211"/>
      <c r="AX55" s="211"/>
      <c r="AY55" s="211"/>
      <c r="AZ55" s="211"/>
      <c r="BA55" s="211"/>
      <c r="BB55" s="211"/>
    </row>
    <row r="56" spans="1:54" x14ac:dyDescent="0.25">
      <c r="A56" s="397"/>
      <c r="B56" s="397"/>
      <c r="C56" s="397"/>
      <c r="D56" s="397"/>
      <c r="E56" s="397"/>
      <c r="F56" s="397"/>
      <c r="G56" s="145"/>
      <c r="H56" s="397"/>
      <c r="I56" s="397"/>
      <c r="J56" s="397"/>
      <c r="K56" s="145"/>
      <c r="L56" s="397"/>
      <c r="M56" s="397"/>
      <c r="N56" s="397"/>
      <c r="O56" s="145"/>
      <c r="P56" s="397"/>
      <c r="Q56" s="397"/>
      <c r="R56" s="397"/>
      <c r="S56" s="145"/>
      <c r="T56" s="397"/>
      <c r="U56" s="397"/>
      <c r="V56" s="397"/>
      <c r="W56" s="145"/>
      <c r="X56" s="399"/>
      <c r="Y56" s="399"/>
      <c r="Z56" s="397"/>
      <c r="AA56" s="145"/>
      <c r="AB56" s="397"/>
      <c r="AC56" s="397"/>
      <c r="AD56" s="397"/>
      <c r="AE56" s="145"/>
      <c r="AF56" s="397"/>
      <c r="AG56" s="397"/>
      <c r="AH56" s="397"/>
      <c r="AI56" s="397"/>
      <c r="AJ56" s="397"/>
      <c r="AK56" s="397"/>
      <c r="AL56" s="397"/>
      <c r="AM56" s="397"/>
      <c r="AN56" s="145"/>
      <c r="AO56" s="235"/>
      <c r="AP56" s="237"/>
      <c r="AQ56" s="301">
        <f>SUM(AQ51:AQ55)</f>
        <v>23106.290877600113</v>
      </c>
      <c r="AR56" s="211"/>
      <c r="AS56" s="211"/>
      <c r="AT56" s="211"/>
      <c r="AU56" s="211"/>
      <c r="AV56" s="211"/>
      <c r="AW56" s="211"/>
      <c r="AX56" s="211"/>
      <c r="AY56" s="211"/>
      <c r="AZ56" s="211"/>
      <c r="BA56" s="211"/>
      <c r="BB56" s="211"/>
    </row>
    <row r="57" spans="1:54" x14ac:dyDescent="0.25">
      <c r="D57" s="120"/>
      <c r="H57" s="120"/>
      <c r="L57" s="120"/>
      <c r="P57" s="120"/>
      <c r="T57" s="120"/>
      <c r="X57" s="399"/>
      <c r="Y57" s="399"/>
      <c r="AB57" s="409">
        <f>-(AB8+AB9+AB10+AB11+AB12)</f>
        <v>-49554.65</v>
      </c>
      <c r="AF57" s="409">
        <f>-(AF8+AF9+AF10+AF11+AF12)</f>
        <v>-51033.33</v>
      </c>
      <c r="AG57" s="120"/>
      <c r="AK57" s="409">
        <f>-(AK8+AK9+AK10+AK11+AK12)</f>
        <v>-55241.599999999999</v>
      </c>
      <c r="AO57" s="409">
        <f>-(AO8+AO9+AO10+AO11+AO12)</f>
        <v>-57475.46</v>
      </c>
      <c r="AP57" s="131" t="s">
        <v>1446</v>
      </c>
      <c r="AQ57" s="211"/>
      <c r="AR57" s="211"/>
      <c r="AS57" s="211"/>
      <c r="AT57" s="211"/>
      <c r="AU57" s="211"/>
      <c r="AV57" s="211"/>
      <c r="AW57" s="211"/>
      <c r="AX57" s="211"/>
      <c r="AY57" s="211"/>
      <c r="AZ57" s="211"/>
      <c r="BA57" s="211"/>
      <c r="BB57" s="211"/>
    </row>
    <row r="58" spans="1:54" x14ac:dyDescent="0.25">
      <c r="D58" s="120"/>
      <c r="H58" s="120"/>
      <c r="L58" s="120"/>
      <c r="P58" s="120"/>
      <c r="T58" s="120"/>
      <c r="X58" s="399"/>
      <c r="Y58" s="399"/>
      <c r="AB58" s="120"/>
      <c r="AF58" s="120"/>
      <c r="AG58" s="120"/>
      <c r="AK58" s="403"/>
      <c r="AO58" s="212"/>
      <c r="AP58" s="212"/>
      <c r="AQ58" s="211"/>
      <c r="AR58" s="211"/>
      <c r="AS58" s="211"/>
      <c r="AT58" s="211"/>
      <c r="AU58" s="211"/>
      <c r="AV58" s="211"/>
      <c r="AW58" s="211"/>
      <c r="AX58" s="211"/>
      <c r="AY58" s="211"/>
      <c r="AZ58" s="211"/>
      <c r="BA58" s="211"/>
      <c r="BB58" s="211"/>
    </row>
    <row r="59" spans="1:54" x14ac:dyDescent="0.25">
      <c r="D59" s="120"/>
      <c r="H59" s="120"/>
      <c r="L59" s="120"/>
      <c r="P59" s="120"/>
      <c r="T59" s="120"/>
      <c r="X59" s="120"/>
      <c r="AB59" s="120"/>
      <c r="AF59" s="120"/>
      <c r="AG59" s="120"/>
      <c r="AK59" s="403"/>
      <c r="AO59" s="212"/>
      <c r="AP59" s="212"/>
      <c r="AQ59" s="211"/>
      <c r="AR59" s="211"/>
      <c r="AS59" s="211"/>
      <c r="AT59" s="211"/>
      <c r="AU59" s="211"/>
      <c r="AV59" s="211"/>
      <c r="AW59" s="211"/>
      <c r="AX59" s="211"/>
      <c r="AY59" s="211"/>
      <c r="AZ59" s="211"/>
      <c r="BA59" s="211"/>
      <c r="BB59" s="211"/>
    </row>
    <row r="60" spans="1:54" x14ac:dyDescent="0.25">
      <c r="D60" s="120"/>
      <c r="H60" s="120"/>
      <c r="L60" s="120"/>
      <c r="P60" s="120"/>
      <c r="T60" s="120"/>
      <c r="X60" s="120"/>
      <c r="AB60" s="120"/>
      <c r="AF60" s="120"/>
      <c r="AG60" s="120"/>
      <c r="AK60" s="403"/>
      <c r="AO60" s="212"/>
      <c r="AP60" s="212"/>
      <c r="AQ60" s="211"/>
      <c r="AR60" s="211"/>
      <c r="AS60" s="211"/>
      <c r="AT60" s="211"/>
      <c r="AU60" s="211"/>
      <c r="AV60" s="211"/>
      <c r="AW60" s="211"/>
      <c r="AX60" s="211"/>
      <c r="AY60" s="211"/>
      <c r="AZ60" s="211"/>
      <c r="BA60" s="211"/>
      <c r="BB60" s="211"/>
    </row>
    <row r="61" spans="1:54" x14ac:dyDescent="0.25">
      <c r="D61" s="120"/>
      <c r="H61" s="120"/>
      <c r="L61" s="120"/>
      <c r="P61" s="120"/>
      <c r="T61" s="120"/>
      <c r="X61" s="120"/>
      <c r="AB61" s="120"/>
      <c r="AF61" s="120"/>
      <c r="AG61" s="120"/>
      <c r="AK61" s="403"/>
      <c r="AO61" s="212"/>
      <c r="AP61" s="212"/>
      <c r="AQ61" s="211"/>
      <c r="AR61" s="211"/>
      <c r="AS61" s="211"/>
      <c r="AT61" s="211"/>
      <c r="AU61" s="211"/>
      <c r="AV61" s="211"/>
      <c r="AW61" s="211"/>
      <c r="AX61" s="211"/>
      <c r="AY61" s="211"/>
      <c r="AZ61" s="211"/>
      <c r="BA61" s="211"/>
      <c r="BB61" s="211"/>
    </row>
    <row r="62" spans="1:54" x14ac:dyDescent="0.25">
      <c r="D62" s="120"/>
      <c r="H62" s="120"/>
      <c r="L62" s="120"/>
      <c r="P62" s="120"/>
      <c r="T62" s="120"/>
      <c r="X62" s="120"/>
      <c r="AB62" s="120"/>
      <c r="AF62" s="120"/>
      <c r="AG62" s="120"/>
      <c r="AK62" s="403"/>
      <c r="AO62" s="212"/>
      <c r="AP62" s="212"/>
      <c r="AQ62" s="211"/>
      <c r="AR62" s="211"/>
      <c r="AS62" s="211"/>
      <c r="AT62" s="211"/>
      <c r="AU62" s="211"/>
      <c r="AV62" s="211"/>
      <c r="AW62" s="211"/>
      <c r="AX62" s="211"/>
      <c r="AY62" s="211"/>
      <c r="AZ62" s="211"/>
      <c r="BA62" s="211"/>
      <c r="BB62" s="211"/>
    </row>
    <row r="63" spans="1:54" x14ac:dyDescent="0.25">
      <c r="D63" s="120"/>
      <c r="H63" s="120"/>
      <c r="L63" s="120"/>
      <c r="P63" s="120"/>
      <c r="T63" s="120"/>
      <c r="X63" s="120"/>
      <c r="AB63" s="120"/>
      <c r="AF63" s="120"/>
      <c r="AG63" s="120"/>
      <c r="AK63" s="403"/>
      <c r="AO63" s="212"/>
      <c r="AP63" s="212"/>
      <c r="AQ63" s="211"/>
      <c r="AR63" s="211"/>
      <c r="AS63" s="211"/>
      <c r="AT63" s="211"/>
      <c r="AU63" s="211"/>
      <c r="AV63" s="211"/>
      <c r="AW63" s="211"/>
      <c r="AX63" s="211"/>
      <c r="AY63" s="211"/>
      <c r="AZ63" s="211"/>
      <c r="BA63" s="211"/>
      <c r="BB63" s="211"/>
    </row>
    <row r="64" spans="1:54" x14ac:dyDescent="0.25">
      <c r="D64" s="120"/>
      <c r="H64" s="120"/>
      <c r="L64" s="120"/>
      <c r="P64" s="120"/>
      <c r="T64" s="120"/>
      <c r="X64" s="120"/>
      <c r="AB64" s="120"/>
      <c r="AF64" s="120"/>
      <c r="AG64" s="120"/>
      <c r="AK64" s="403"/>
      <c r="AO64" s="212"/>
      <c r="AP64" s="212"/>
      <c r="AQ64" s="211"/>
      <c r="AR64" s="211"/>
      <c r="AS64" s="211"/>
      <c r="AT64" s="211"/>
      <c r="AU64" s="211"/>
      <c r="AV64" s="211"/>
      <c r="AW64" s="211"/>
      <c r="AX64" s="211"/>
      <c r="AY64" s="211"/>
      <c r="AZ64" s="211"/>
      <c r="BA64" s="211"/>
      <c r="BB64" s="211"/>
    </row>
    <row r="65" spans="4:54" x14ac:dyDescent="0.25">
      <c r="D65" s="120"/>
      <c r="H65" s="120"/>
      <c r="L65" s="120"/>
      <c r="P65" s="120"/>
      <c r="T65" s="120"/>
      <c r="X65" s="120"/>
      <c r="AB65" s="120"/>
      <c r="AF65" s="120"/>
      <c r="AG65" s="120"/>
      <c r="AK65" s="403"/>
      <c r="AO65" s="212"/>
      <c r="AP65" s="212"/>
      <c r="AQ65" s="211"/>
      <c r="AR65" s="211"/>
      <c r="AS65" s="211"/>
      <c r="AT65" s="211"/>
      <c r="AU65" s="211"/>
      <c r="AV65" s="211"/>
      <c r="AW65" s="211"/>
      <c r="AX65" s="211"/>
      <c r="AY65" s="211"/>
      <c r="AZ65" s="211"/>
      <c r="BA65" s="211"/>
      <c r="BB65" s="211"/>
    </row>
    <row r="66" spans="4:54" x14ac:dyDescent="0.25">
      <c r="D66" s="120"/>
      <c r="H66" s="120"/>
      <c r="L66" s="120"/>
      <c r="P66" s="120"/>
      <c r="T66" s="120"/>
      <c r="X66" s="120"/>
      <c r="AB66" s="120"/>
      <c r="AF66" s="120"/>
      <c r="AG66" s="120"/>
      <c r="AK66" s="403"/>
      <c r="AO66" s="212"/>
      <c r="AP66" s="212"/>
      <c r="AQ66" s="211"/>
      <c r="AR66" s="211"/>
      <c r="AS66" s="211"/>
      <c r="AT66" s="211"/>
      <c r="AU66" s="211"/>
      <c r="AV66" s="211"/>
      <c r="AW66" s="211"/>
      <c r="AX66" s="211"/>
      <c r="AY66" s="211"/>
      <c r="AZ66" s="211"/>
      <c r="BA66" s="211"/>
      <c r="BB66" s="211"/>
    </row>
    <row r="67" spans="4:54" x14ac:dyDescent="0.25">
      <c r="D67" s="120"/>
      <c r="H67" s="120"/>
      <c r="L67" s="120"/>
      <c r="P67" s="120"/>
      <c r="T67" s="120"/>
      <c r="X67" s="120"/>
      <c r="AB67" s="120"/>
      <c r="AF67" s="120"/>
      <c r="AG67" s="120"/>
      <c r="AK67" s="403"/>
      <c r="AO67" s="212"/>
      <c r="AP67" s="212"/>
      <c r="AQ67" s="211"/>
      <c r="AR67" s="211"/>
      <c r="AS67" s="211"/>
      <c r="AT67" s="211"/>
      <c r="AU67" s="211"/>
      <c r="AV67" s="211"/>
      <c r="AW67" s="211"/>
      <c r="AX67" s="211"/>
      <c r="AY67" s="211"/>
      <c r="AZ67" s="211"/>
      <c r="BA67" s="211"/>
      <c r="BB67" s="211"/>
    </row>
    <row r="68" spans="4:54" x14ac:dyDescent="0.25">
      <c r="D68" s="120"/>
      <c r="H68" s="120"/>
      <c r="L68" s="120"/>
      <c r="P68" s="120"/>
      <c r="T68" s="120"/>
      <c r="X68" s="120"/>
      <c r="AB68" s="120"/>
      <c r="AF68" s="120"/>
      <c r="AG68" s="120"/>
      <c r="AK68" s="403"/>
      <c r="AO68" s="212"/>
      <c r="AP68" s="212"/>
      <c r="AQ68" s="211"/>
      <c r="AR68" s="211"/>
      <c r="AS68" s="211"/>
      <c r="AT68" s="211"/>
      <c r="AU68" s="211"/>
      <c r="AV68" s="211"/>
      <c r="AW68" s="211"/>
      <c r="AX68" s="211"/>
      <c r="AY68" s="211"/>
      <c r="AZ68" s="211"/>
      <c r="BA68" s="211"/>
      <c r="BB68" s="211"/>
    </row>
    <row r="69" spans="4:54" x14ac:dyDescent="0.25">
      <c r="D69" s="120"/>
      <c r="H69" s="120"/>
      <c r="L69" s="120"/>
      <c r="P69" s="120"/>
      <c r="T69" s="120"/>
      <c r="X69" s="120"/>
      <c r="AB69" s="120"/>
      <c r="AF69" s="120"/>
      <c r="AG69" s="120"/>
      <c r="AK69" s="403"/>
      <c r="AO69" s="212"/>
      <c r="AP69" s="212"/>
      <c r="AQ69" s="211"/>
      <c r="AR69" s="211"/>
      <c r="AS69" s="211"/>
      <c r="AT69" s="211"/>
      <c r="AU69" s="211"/>
      <c r="AV69" s="211"/>
      <c r="AW69" s="211"/>
      <c r="AX69" s="211"/>
      <c r="AY69" s="211"/>
      <c r="AZ69" s="211"/>
      <c r="BA69" s="211"/>
      <c r="BB69" s="211"/>
    </row>
    <row r="70" spans="4:54" x14ac:dyDescent="0.25">
      <c r="D70" s="120"/>
      <c r="H70" s="120"/>
      <c r="L70" s="120"/>
      <c r="P70" s="120"/>
      <c r="T70" s="120"/>
      <c r="X70" s="120"/>
      <c r="AB70" s="120"/>
      <c r="AF70" s="120"/>
      <c r="AG70" s="120"/>
      <c r="AK70" s="403"/>
      <c r="AO70" s="212"/>
      <c r="AP70" s="212"/>
      <c r="AQ70" s="211"/>
      <c r="AR70" s="211"/>
      <c r="AS70" s="211"/>
      <c r="AT70" s="211"/>
      <c r="AU70" s="211"/>
      <c r="AV70" s="211"/>
      <c r="AW70" s="211"/>
      <c r="AX70" s="211"/>
      <c r="AY70" s="211"/>
      <c r="AZ70" s="211"/>
      <c r="BA70" s="211"/>
      <c r="BB70" s="211"/>
    </row>
    <row r="71" spans="4:54" x14ac:dyDescent="0.25">
      <c r="D71" s="120"/>
      <c r="H71" s="120"/>
      <c r="L71" s="120"/>
      <c r="P71" s="120"/>
      <c r="T71" s="120"/>
      <c r="X71" s="120"/>
      <c r="AB71" s="120"/>
      <c r="AF71" s="120"/>
      <c r="AG71" s="120"/>
      <c r="AK71" s="403"/>
      <c r="AO71" s="212"/>
      <c r="AP71" s="212"/>
      <c r="AQ71" s="211"/>
      <c r="AR71" s="211"/>
      <c r="AS71" s="211"/>
      <c r="AT71" s="211"/>
      <c r="AU71" s="211"/>
      <c r="AV71" s="211"/>
      <c r="AW71" s="211"/>
      <c r="AX71" s="211"/>
      <c r="AY71" s="211"/>
      <c r="AZ71" s="211"/>
      <c r="BA71" s="211"/>
      <c r="BB71" s="211"/>
    </row>
    <row r="72" spans="4:54" x14ac:dyDescent="0.25">
      <c r="D72" s="120"/>
      <c r="H72" s="120"/>
      <c r="L72" s="120"/>
      <c r="P72" s="120"/>
      <c r="T72" s="120"/>
      <c r="X72" s="120"/>
      <c r="AB72" s="120"/>
      <c r="AF72" s="120"/>
      <c r="AG72" s="120"/>
      <c r="AK72" s="403"/>
      <c r="AO72" s="212"/>
      <c r="AP72" s="212"/>
      <c r="AQ72" s="211"/>
      <c r="AR72" s="211"/>
      <c r="AS72" s="211"/>
      <c r="AT72" s="211"/>
      <c r="AU72" s="211"/>
      <c r="AV72" s="211"/>
      <c r="AW72" s="211"/>
      <c r="AX72" s="211"/>
      <c r="AY72" s="211"/>
      <c r="AZ72" s="211"/>
      <c r="BA72" s="211"/>
      <c r="BB72" s="211"/>
    </row>
    <row r="73" spans="4:54" x14ac:dyDescent="0.25">
      <c r="D73" s="120"/>
      <c r="H73" s="120"/>
      <c r="L73" s="120"/>
      <c r="P73" s="120"/>
      <c r="T73" s="120"/>
      <c r="X73" s="120"/>
      <c r="AB73" s="120"/>
      <c r="AF73" s="120"/>
      <c r="AG73" s="120"/>
      <c r="AK73" s="403"/>
      <c r="AO73" s="212"/>
      <c r="AP73" s="212"/>
      <c r="AQ73" s="211"/>
      <c r="AR73" s="211"/>
      <c r="AS73" s="211"/>
      <c r="AT73" s="211"/>
      <c r="AU73" s="211"/>
      <c r="AV73" s="211"/>
      <c r="AW73" s="211"/>
      <c r="AX73" s="211"/>
      <c r="AY73" s="211"/>
      <c r="AZ73" s="211"/>
      <c r="BA73" s="211"/>
      <c r="BB73" s="211"/>
    </row>
    <row r="74" spans="4:54" x14ac:dyDescent="0.25">
      <c r="D74" s="120"/>
      <c r="H74" s="120"/>
      <c r="L74" s="120"/>
      <c r="P74" s="120"/>
      <c r="T74" s="120"/>
      <c r="X74" s="120"/>
      <c r="AB74" s="120"/>
      <c r="AF74" s="120"/>
      <c r="AG74" s="120"/>
      <c r="AK74" s="403"/>
      <c r="AO74" s="212"/>
      <c r="AP74" s="212"/>
      <c r="AQ74" s="211"/>
      <c r="AR74" s="211"/>
      <c r="AS74" s="211"/>
      <c r="AT74" s="211"/>
      <c r="AU74" s="211"/>
      <c r="AV74" s="211"/>
      <c r="AW74" s="211"/>
      <c r="AX74" s="211"/>
      <c r="AY74" s="211"/>
      <c r="AZ74" s="211"/>
      <c r="BA74" s="211"/>
      <c r="BB74" s="211"/>
    </row>
    <row r="75" spans="4:54" x14ac:dyDescent="0.25">
      <c r="D75" s="120"/>
      <c r="H75" s="120"/>
      <c r="L75" s="120"/>
      <c r="P75" s="120"/>
      <c r="T75" s="120"/>
      <c r="X75" s="120"/>
      <c r="AB75" s="120"/>
      <c r="AF75" s="120"/>
      <c r="AG75" s="120"/>
      <c r="AK75" s="403"/>
      <c r="AO75" s="212"/>
      <c r="AP75" s="212"/>
      <c r="AQ75" s="211"/>
      <c r="AR75" s="211"/>
      <c r="AS75" s="211"/>
      <c r="AT75" s="211"/>
      <c r="AU75" s="211"/>
      <c r="AV75" s="211"/>
      <c r="AW75" s="211"/>
      <c r="AX75" s="211"/>
      <c r="AY75" s="211"/>
      <c r="AZ75" s="211"/>
      <c r="BA75" s="211"/>
      <c r="BB75" s="211"/>
    </row>
    <row r="76" spans="4:54" x14ac:dyDescent="0.25">
      <c r="D76" s="120"/>
      <c r="H76" s="120"/>
      <c r="L76" s="120"/>
      <c r="P76" s="120"/>
      <c r="T76" s="120"/>
      <c r="X76" s="120"/>
      <c r="AB76" s="120"/>
      <c r="AF76" s="120"/>
      <c r="AG76" s="120"/>
      <c r="AK76" s="403"/>
      <c r="AO76" s="212"/>
      <c r="AP76" s="212"/>
      <c r="AQ76" s="211"/>
      <c r="AR76" s="211"/>
      <c r="AS76" s="211"/>
      <c r="AT76" s="211"/>
      <c r="AU76" s="211"/>
      <c r="AV76" s="211"/>
      <c r="AW76" s="211"/>
      <c r="AX76" s="211"/>
      <c r="AY76" s="211"/>
      <c r="AZ76" s="211"/>
      <c r="BA76" s="211"/>
      <c r="BB76" s="211"/>
    </row>
    <row r="77" spans="4:54" x14ac:dyDescent="0.25">
      <c r="D77" s="120"/>
      <c r="H77" s="120"/>
      <c r="L77" s="120"/>
      <c r="P77" s="120"/>
      <c r="T77" s="120"/>
      <c r="X77" s="120"/>
      <c r="AB77" s="120"/>
      <c r="AF77" s="120"/>
      <c r="AG77" s="120"/>
      <c r="AK77" s="403"/>
      <c r="AO77" s="212"/>
      <c r="AP77" s="212"/>
      <c r="AQ77" s="211"/>
      <c r="AR77" s="211"/>
      <c r="AS77" s="211"/>
      <c r="AT77" s="211"/>
      <c r="AU77" s="211"/>
      <c r="AV77" s="211"/>
      <c r="AW77" s="211"/>
      <c r="AX77" s="211"/>
      <c r="AY77" s="211"/>
      <c r="AZ77" s="211"/>
      <c r="BA77" s="211"/>
      <c r="BB77" s="211"/>
    </row>
    <row r="78" spans="4:54" x14ac:dyDescent="0.25">
      <c r="D78" s="120"/>
      <c r="H78" s="120"/>
      <c r="L78" s="120"/>
      <c r="P78" s="120"/>
      <c r="T78" s="120"/>
      <c r="X78" s="120"/>
      <c r="AB78" s="120"/>
      <c r="AF78" s="120"/>
      <c r="AG78" s="120"/>
      <c r="AK78" s="403"/>
      <c r="AO78" s="212"/>
      <c r="AP78" s="212"/>
      <c r="AQ78" s="211"/>
      <c r="AR78" s="211"/>
      <c r="AS78" s="211"/>
      <c r="AT78" s="211"/>
      <c r="AU78" s="211"/>
      <c r="AV78" s="211"/>
      <c r="AW78" s="211"/>
      <c r="AX78" s="211"/>
      <c r="AY78" s="211"/>
      <c r="AZ78" s="211"/>
      <c r="BA78" s="211"/>
      <c r="BB78" s="211"/>
    </row>
    <row r="79" spans="4:54" x14ac:dyDescent="0.25">
      <c r="D79" s="120"/>
      <c r="H79" s="120"/>
      <c r="L79" s="120"/>
      <c r="P79" s="120"/>
      <c r="T79" s="120"/>
      <c r="X79" s="120"/>
      <c r="AB79" s="120"/>
      <c r="AF79" s="120"/>
      <c r="AG79" s="120"/>
      <c r="AK79" s="403"/>
      <c r="AO79" s="212"/>
      <c r="AP79" s="212"/>
      <c r="AQ79" s="211"/>
      <c r="AR79" s="211"/>
      <c r="AS79" s="211"/>
      <c r="AT79" s="211"/>
      <c r="AU79" s="211"/>
      <c r="AV79" s="211"/>
      <c r="AW79" s="211"/>
      <c r="AX79" s="211"/>
      <c r="AY79" s="211"/>
      <c r="AZ79" s="211"/>
      <c r="BA79" s="211"/>
      <c r="BB79" s="211"/>
    </row>
    <row r="80" spans="4:54" x14ac:dyDescent="0.25">
      <c r="D80" s="120"/>
      <c r="H80" s="120"/>
      <c r="L80" s="120"/>
      <c r="P80" s="120"/>
      <c r="T80" s="120"/>
      <c r="X80" s="120"/>
      <c r="AB80" s="120"/>
      <c r="AF80" s="120"/>
      <c r="AG80" s="120"/>
      <c r="AK80" s="403"/>
      <c r="AO80" s="212"/>
      <c r="AP80" s="212"/>
      <c r="AQ80" s="211"/>
      <c r="AR80" s="211"/>
      <c r="AS80" s="211"/>
      <c r="AT80" s="211"/>
      <c r="AU80" s="211"/>
      <c r="AV80" s="211"/>
      <c r="AW80" s="211"/>
      <c r="AX80" s="211"/>
      <c r="AY80" s="211"/>
      <c r="AZ80" s="211"/>
      <c r="BA80" s="211"/>
      <c r="BB80" s="211"/>
    </row>
    <row r="81" spans="4:54" x14ac:dyDescent="0.25">
      <c r="D81" s="120"/>
      <c r="H81" s="120"/>
      <c r="L81" s="120"/>
      <c r="P81" s="120"/>
      <c r="T81" s="120"/>
      <c r="X81" s="120"/>
      <c r="AB81" s="120"/>
      <c r="AF81" s="120"/>
      <c r="AG81" s="120"/>
      <c r="AK81" s="403"/>
      <c r="AO81" s="212"/>
      <c r="AP81" s="212"/>
      <c r="AQ81" s="211"/>
      <c r="AR81" s="211"/>
      <c r="AS81" s="211"/>
      <c r="AT81" s="211"/>
      <c r="AU81" s="211"/>
      <c r="AV81" s="211"/>
      <c r="AW81" s="211"/>
      <c r="AX81" s="211"/>
      <c r="AY81" s="211"/>
      <c r="AZ81" s="211"/>
      <c r="BA81" s="211"/>
      <c r="BB81" s="211"/>
    </row>
    <row r="82" spans="4:54" x14ac:dyDescent="0.25">
      <c r="D82" s="120"/>
      <c r="H82" s="120"/>
      <c r="L82" s="120"/>
      <c r="P82" s="120"/>
      <c r="T82" s="120"/>
      <c r="X82" s="120"/>
      <c r="AB82" s="120"/>
      <c r="AF82" s="120"/>
      <c r="AG82" s="120"/>
      <c r="AK82" s="403"/>
      <c r="AO82" s="212"/>
      <c r="AP82" s="212"/>
      <c r="AQ82" s="211"/>
      <c r="AR82" s="211"/>
      <c r="AS82" s="211"/>
      <c r="AT82" s="211"/>
      <c r="AU82" s="211"/>
      <c r="AV82" s="211"/>
      <c r="AW82" s="211"/>
      <c r="AX82" s="211"/>
      <c r="AY82" s="211"/>
      <c r="AZ82" s="211"/>
      <c r="BA82" s="211"/>
      <c r="BB82" s="211"/>
    </row>
    <row r="83" spans="4:54" x14ac:dyDescent="0.25">
      <c r="D83" s="120"/>
      <c r="H83" s="120"/>
      <c r="L83" s="120"/>
      <c r="P83" s="120"/>
      <c r="T83" s="120"/>
      <c r="X83" s="120"/>
      <c r="AB83" s="120"/>
      <c r="AF83" s="120"/>
      <c r="AG83" s="120"/>
      <c r="AK83" s="403"/>
      <c r="AO83" s="212"/>
      <c r="AP83" s="212"/>
      <c r="AQ83" s="211"/>
      <c r="AR83" s="211"/>
      <c r="AS83" s="211"/>
      <c r="AT83" s="211"/>
      <c r="AU83" s="211"/>
      <c r="AV83" s="211"/>
      <c r="AW83" s="211"/>
      <c r="AX83" s="211"/>
      <c r="AY83" s="211"/>
      <c r="AZ83" s="211"/>
      <c r="BA83" s="211"/>
      <c r="BB83" s="211"/>
    </row>
    <row r="84" spans="4:54" x14ac:dyDescent="0.25">
      <c r="D84" s="120"/>
      <c r="H84" s="120"/>
      <c r="L84" s="120"/>
      <c r="P84" s="120"/>
      <c r="T84" s="120"/>
      <c r="X84" s="120"/>
      <c r="AB84" s="120"/>
      <c r="AF84" s="120"/>
      <c r="AG84" s="120"/>
      <c r="AK84" s="403"/>
      <c r="AO84" s="212"/>
      <c r="AP84" s="212"/>
      <c r="AQ84" s="211"/>
      <c r="AR84" s="211"/>
      <c r="AS84" s="211"/>
      <c r="AT84" s="211"/>
      <c r="AU84" s="211"/>
      <c r="AV84" s="211"/>
      <c r="AW84" s="211"/>
      <c r="AX84" s="211"/>
      <c r="AY84" s="211"/>
      <c r="AZ84" s="211"/>
      <c r="BA84" s="211"/>
      <c r="BB84" s="211"/>
    </row>
    <row r="85" spans="4:54" x14ac:dyDescent="0.25">
      <c r="D85" s="120"/>
      <c r="H85" s="120"/>
      <c r="L85" s="120"/>
      <c r="P85" s="120"/>
      <c r="T85" s="120"/>
      <c r="X85" s="120"/>
      <c r="AB85" s="120"/>
      <c r="AF85" s="120"/>
      <c r="AG85" s="120"/>
      <c r="AK85" s="403"/>
      <c r="AO85" s="212"/>
      <c r="AP85" s="212"/>
      <c r="AQ85" s="211"/>
      <c r="AR85" s="211"/>
      <c r="AS85" s="211"/>
      <c r="AT85" s="211"/>
      <c r="AU85" s="211"/>
      <c r="AV85" s="211"/>
      <c r="AW85" s="211"/>
      <c r="AX85" s="211"/>
      <c r="AY85" s="211"/>
      <c r="AZ85" s="211"/>
      <c r="BA85" s="211"/>
      <c r="BB85" s="211"/>
    </row>
    <row r="86" spans="4:54" x14ac:dyDescent="0.25">
      <c r="D86" s="120"/>
      <c r="H86" s="120"/>
      <c r="L86" s="120"/>
      <c r="P86" s="120"/>
      <c r="T86" s="120"/>
      <c r="X86" s="120"/>
      <c r="AB86" s="120"/>
      <c r="AF86" s="120"/>
      <c r="AG86" s="120"/>
      <c r="AK86" s="403"/>
    </row>
    <row r="87" spans="4:54" x14ac:dyDescent="0.25">
      <c r="D87" s="120"/>
      <c r="H87" s="120"/>
      <c r="L87" s="120"/>
      <c r="P87" s="120"/>
      <c r="T87" s="120"/>
      <c r="X87" s="120"/>
      <c r="AB87" s="120"/>
      <c r="AF87" s="120"/>
      <c r="AG87" s="120"/>
      <c r="AK87" s="403"/>
    </row>
    <row r="88" spans="4:54" x14ac:dyDescent="0.25">
      <c r="D88" s="120"/>
      <c r="H88" s="120"/>
      <c r="L88" s="120"/>
      <c r="P88" s="120"/>
      <c r="T88" s="120"/>
      <c r="X88" s="120"/>
      <c r="AB88" s="120"/>
      <c r="AF88" s="120"/>
      <c r="AG88" s="120"/>
      <c r="AK88" s="403"/>
    </row>
    <row r="89" spans="4:54" x14ac:dyDescent="0.25">
      <c r="D89" s="120"/>
      <c r="H89" s="120"/>
      <c r="L89" s="120"/>
      <c r="P89" s="120"/>
      <c r="T89" s="120"/>
      <c r="X89" s="120"/>
      <c r="AB89" s="120"/>
      <c r="AF89" s="120"/>
      <c r="AG89" s="120"/>
      <c r="AK89" s="403"/>
    </row>
    <row r="90" spans="4:54" x14ac:dyDescent="0.25">
      <c r="D90" s="120"/>
      <c r="H90" s="120"/>
      <c r="L90" s="120"/>
      <c r="P90" s="120"/>
      <c r="T90" s="120"/>
      <c r="X90" s="120"/>
      <c r="AB90" s="120"/>
      <c r="AF90" s="120"/>
      <c r="AG90" s="120"/>
      <c r="AK90" s="403"/>
    </row>
    <row r="91" spans="4:54" x14ac:dyDescent="0.25">
      <c r="D91" s="120"/>
      <c r="H91" s="120"/>
      <c r="L91" s="120"/>
      <c r="P91" s="120"/>
      <c r="T91" s="120"/>
      <c r="X91" s="120"/>
      <c r="AB91" s="120"/>
      <c r="AF91" s="120"/>
      <c r="AG91" s="120"/>
      <c r="AK91" s="403"/>
    </row>
    <row r="92" spans="4:54" x14ac:dyDescent="0.25">
      <c r="D92" s="120"/>
      <c r="H92" s="120"/>
      <c r="L92" s="120"/>
      <c r="P92" s="120"/>
      <c r="T92" s="120"/>
      <c r="X92" s="120"/>
      <c r="AB92" s="120"/>
      <c r="AF92" s="120"/>
      <c r="AG92" s="120"/>
      <c r="AK92" s="403"/>
    </row>
    <row r="93" spans="4:54" x14ac:dyDescent="0.25">
      <c r="D93" s="120"/>
      <c r="H93" s="120"/>
      <c r="L93" s="120"/>
      <c r="P93" s="120"/>
      <c r="T93" s="120"/>
      <c r="X93" s="120"/>
      <c r="AB93" s="120"/>
      <c r="AF93" s="120"/>
      <c r="AG93" s="120"/>
      <c r="AK93" s="403"/>
    </row>
    <row r="94" spans="4:54" x14ac:dyDescent="0.25">
      <c r="D94" s="120"/>
      <c r="H94" s="120"/>
      <c r="L94" s="120"/>
      <c r="P94" s="120"/>
      <c r="T94" s="120"/>
      <c r="X94" s="120"/>
      <c r="AB94" s="120"/>
      <c r="AF94" s="120"/>
      <c r="AG94" s="120"/>
      <c r="AK94" s="403"/>
    </row>
    <row r="95" spans="4:54" x14ac:dyDescent="0.25">
      <c r="D95" s="120"/>
      <c r="H95" s="120"/>
      <c r="L95" s="120"/>
      <c r="P95" s="120"/>
      <c r="T95" s="120"/>
      <c r="X95" s="120"/>
      <c r="AB95" s="120"/>
      <c r="AF95" s="120"/>
      <c r="AG95" s="120"/>
      <c r="AK95" s="403"/>
    </row>
    <row r="96" spans="4:54"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row r="388" spans="4:37" x14ac:dyDescent="0.25">
      <c r="D388" s="120"/>
      <c r="H388" s="120"/>
      <c r="L388" s="120"/>
      <c r="P388" s="120"/>
      <c r="T388" s="120"/>
      <c r="X388" s="120"/>
      <c r="AB388" s="120"/>
      <c r="AF388" s="120"/>
      <c r="AG388" s="120"/>
      <c r="AK388" s="403"/>
    </row>
    <row r="389" spans="4:37" x14ac:dyDescent="0.25">
      <c r="D389" s="120"/>
      <c r="H389" s="120"/>
      <c r="L389" s="120"/>
      <c r="P389" s="120"/>
      <c r="T389" s="120"/>
      <c r="X389" s="120"/>
      <c r="AB389" s="120"/>
      <c r="AF389" s="120"/>
      <c r="AG389" s="120"/>
      <c r="AK389" s="403"/>
    </row>
    <row r="390" spans="4:37" x14ac:dyDescent="0.25">
      <c r="D390" s="120"/>
      <c r="H390" s="120"/>
      <c r="L390" s="120"/>
      <c r="P390" s="120"/>
      <c r="T390" s="120"/>
      <c r="X390" s="120"/>
      <c r="AB390" s="120"/>
      <c r="AF390" s="120"/>
      <c r="AG390" s="120"/>
      <c r="AK390" s="403"/>
    </row>
    <row r="391" spans="4:37" x14ac:dyDescent="0.25">
      <c r="D391" s="120"/>
      <c r="H391" s="120"/>
      <c r="L391" s="120"/>
      <c r="P391" s="120"/>
      <c r="T391" s="120"/>
      <c r="X391" s="120"/>
      <c r="AB391" s="120"/>
      <c r="AF391" s="120"/>
      <c r="AG391" s="120"/>
      <c r="AK391" s="403"/>
    </row>
    <row r="392" spans="4:37" x14ac:dyDescent="0.25">
      <c r="D392" s="120"/>
      <c r="H392" s="120"/>
      <c r="L392" s="120"/>
      <c r="P392" s="120"/>
      <c r="T392" s="120"/>
      <c r="X392" s="120"/>
      <c r="AB392" s="120"/>
      <c r="AF392" s="120"/>
      <c r="AG392" s="120"/>
      <c r="AK392" s="403"/>
    </row>
    <row r="393" spans="4:37" x14ac:dyDescent="0.25">
      <c r="D393" s="120"/>
      <c r="H393" s="120"/>
      <c r="L393" s="120"/>
      <c r="P393" s="120"/>
      <c r="T393" s="120"/>
      <c r="X393" s="120"/>
      <c r="AB393" s="120"/>
      <c r="AF393" s="120"/>
      <c r="AG393" s="120"/>
      <c r="AK393" s="403"/>
    </row>
    <row r="394" spans="4:37" x14ac:dyDescent="0.25">
      <c r="D394" s="120"/>
      <c r="H394" s="120"/>
      <c r="L394" s="120"/>
      <c r="P394" s="120"/>
      <c r="T394" s="120"/>
      <c r="X394" s="120"/>
      <c r="AB394" s="120"/>
      <c r="AF394" s="120"/>
      <c r="AG394" s="120"/>
      <c r="AK394" s="403"/>
    </row>
    <row r="395" spans="4:37" x14ac:dyDescent="0.25">
      <c r="D395" s="120"/>
      <c r="H395" s="120"/>
      <c r="L395" s="120"/>
      <c r="P395" s="120"/>
      <c r="T395" s="120"/>
      <c r="X395" s="120"/>
      <c r="AB395" s="120"/>
      <c r="AF395" s="120"/>
      <c r="AG395" s="120"/>
      <c r="AK395" s="403"/>
    </row>
    <row r="396" spans="4:37" x14ac:dyDescent="0.25">
      <c r="D396" s="120"/>
      <c r="H396" s="120"/>
      <c r="L396" s="120"/>
      <c r="P396" s="120"/>
      <c r="T396" s="120"/>
      <c r="X396" s="120"/>
      <c r="AB396" s="120"/>
      <c r="AF396" s="120"/>
      <c r="AG396" s="120"/>
      <c r="AK396" s="403"/>
    </row>
    <row r="397" spans="4:37" x14ac:dyDescent="0.25">
      <c r="D397" s="120"/>
      <c r="H397" s="120"/>
      <c r="L397" s="120"/>
      <c r="P397" s="120"/>
      <c r="T397" s="120"/>
      <c r="X397" s="120"/>
      <c r="AB397" s="120"/>
      <c r="AF397" s="120"/>
      <c r="AG397" s="120"/>
      <c r="AK397" s="403"/>
    </row>
    <row r="398" spans="4:37" x14ac:dyDescent="0.25">
      <c r="D398" s="120"/>
      <c r="H398" s="120"/>
      <c r="L398" s="120"/>
      <c r="P398" s="120"/>
      <c r="T398" s="120"/>
      <c r="X398" s="120"/>
      <c r="AB398" s="120"/>
      <c r="AF398" s="120"/>
      <c r="AG398" s="120"/>
      <c r="AK398" s="403"/>
    </row>
    <row r="399" spans="4:37" x14ac:dyDescent="0.25">
      <c r="D399" s="120"/>
      <c r="H399" s="120"/>
      <c r="L399" s="120"/>
      <c r="P399" s="120"/>
      <c r="T399" s="120"/>
      <c r="X399" s="120"/>
      <c r="AB399" s="120"/>
      <c r="AF399" s="120"/>
      <c r="AG399" s="120"/>
      <c r="AK399"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61" orientation="landscape" r:id="rId1"/>
  <headerFooter alignWithMargins="0">
    <oddHeader>&amp;C&amp;"-,Bold"Proposed Budget &amp; Analysis Report for FY20</oddHeader>
    <oddFooter>&amp;C&amp;D&amp;T&amp;R&amp;A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8"/>
  <sheetViews>
    <sheetView zoomScaleNormal="100" workbookViewId="0">
      <selection sqref="A1:I1"/>
    </sheetView>
  </sheetViews>
  <sheetFormatPr defaultRowHeight="15" x14ac:dyDescent="0.25"/>
  <cols>
    <col min="1" max="1" width="6.7109375" style="77" customWidth="1"/>
    <col min="2" max="2" width="9.140625" style="77"/>
    <col min="3" max="3" width="5.28515625" style="77" customWidth="1"/>
    <col min="4" max="4" width="16.5703125" style="77" bestFit="1" customWidth="1"/>
    <col min="5" max="5" width="9.85546875" style="77" bestFit="1" customWidth="1"/>
    <col min="6" max="6" width="4.140625" style="77" customWidth="1"/>
    <col min="7" max="7" width="2.42578125" style="77" customWidth="1"/>
    <col min="8" max="8" width="16.5703125" style="77" bestFit="1" customWidth="1"/>
    <col min="9" max="9" width="9.85546875" style="77" bestFit="1" customWidth="1"/>
    <col min="10" max="10" width="4.140625" style="77" customWidth="1"/>
    <col min="11" max="11" width="2.42578125" style="77" customWidth="1"/>
    <col min="12" max="12" width="16.5703125" style="77" bestFit="1" customWidth="1"/>
    <col min="13" max="13" width="9.85546875" style="77" bestFit="1" customWidth="1"/>
    <col min="14" max="14" width="4.140625" style="77" customWidth="1"/>
    <col min="15" max="15" width="2.42578125" style="77" customWidth="1"/>
    <col min="16" max="16" width="16.5703125" style="77" bestFit="1" customWidth="1"/>
    <col min="17" max="17" width="9.85546875" style="77" bestFit="1" customWidth="1"/>
    <col min="18" max="18" width="4.140625" style="77" customWidth="1"/>
    <col min="19" max="19" width="2.42578125" style="77" customWidth="1"/>
    <col min="20" max="20" width="16.5703125" style="77" bestFit="1" customWidth="1"/>
    <col min="21" max="21" width="9.85546875" style="77" bestFit="1" customWidth="1"/>
    <col min="22" max="22" width="4.140625" style="77" customWidth="1"/>
    <col min="23" max="23" width="2.42578125" style="77" customWidth="1"/>
    <col min="24" max="24" width="16.5703125" style="77" bestFit="1" customWidth="1"/>
    <col min="25" max="25" width="9.85546875" style="77" bestFit="1" customWidth="1"/>
    <col min="26" max="26" width="4.140625" style="77" customWidth="1"/>
    <col min="27" max="27" width="2.42578125" style="77" customWidth="1"/>
    <col min="28" max="28" width="16.5703125" style="77" bestFit="1" customWidth="1"/>
    <col min="29" max="29" width="9.85546875" style="77" bestFit="1" customWidth="1"/>
    <col min="30" max="30" width="4.140625" style="77" customWidth="1"/>
    <col min="31" max="31" width="2.42578125" style="77" customWidth="1"/>
    <col min="32" max="32" width="16.5703125" style="77" bestFit="1" customWidth="1"/>
    <col min="33" max="33" width="9.85546875" style="77" bestFit="1" customWidth="1"/>
    <col min="34" max="34" width="4.140625" style="77" customWidth="1"/>
    <col min="35" max="16384" width="9.140625" style="77"/>
  </cols>
  <sheetData>
    <row r="1" spans="1:34" s="161" customFormat="1" ht="13.5" x14ac:dyDescent="0.25">
      <c r="A1" s="211" t="s">
        <v>267</v>
      </c>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row>
    <row r="2" spans="1:34" s="161" customFormat="1" ht="13.5" x14ac:dyDescent="0.25">
      <c r="A2" s="211">
        <v>2017</v>
      </c>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row>
    <row r="3" spans="1:34" s="211" customFormat="1" ht="13.5" x14ac:dyDescent="0.25"/>
    <row r="4" spans="1:34" s="161" customFormat="1" ht="13.5" x14ac:dyDescent="0.25">
      <c r="A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row>
    <row r="5" spans="1:34" x14ac:dyDescent="0.25">
      <c r="A5" s="213"/>
      <c r="B5" s="376"/>
      <c r="C5" s="376"/>
      <c r="D5" s="102" t="s">
        <v>268</v>
      </c>
      <c r="E5" s="102" t="s">
        <v>220</v>
      </c>
      <c r="F5" s="102"/>
      <c r="G5" s="213"/>
      <c r="H5" s="102" t="s">
        <v>268</v>
      </c>
      <c r="I5" s="102" t="s">
        <v>220</v>
      </c>
      <c r="J5" s="102"/>
      <c r="K5" s="213"/>
      <c r="L5" s="102" t="s">
        <v>268</v>
      </c>
      <c r="M5" s="102" t="s">
        <v>220</v>
      </c>
      <c r="N5" s="102"/>
      <c r="O5" s="213"/>
      <c r="P5" s="102" t="s">
        <v>268</v>
      </c>
      <c r="Q5" s="102" t="s">
        <v>220</v>
      </c>
      <c r="R5" s="102"/>
      <c r="S5" s="213"/>
      <c r="T5" s="102" t="s">
        <v>268</v>
      </c>
      <c r="U5" s="102" t="s">
        <v>220</v>
      </c>
      <c r="V5" s="102"/>
      <c r="W5" s="213"/>
      <c r="X5" s="102" t="s">
        <v>268</v>
      </c>
      <c r="Y5" s="102" t="s">
        <v>220</v>
      </c>
      <c r="Z5" s="102"/>
      <c r="AA5" s="213"/>
      <c r="AB5" s="102" t="s">
        <v>268</v>
      </c>
      <c r="AC5" s="102" t="s">
        <v>220</v>
      </c>
      <c r="AD5" s="102"/>
      <c r="AE5" s="213"/>
      <c r="AF5" s="102" t="s">
        <v>268</v>
      </c>
      <c r="AG5" s="102" t="s">
        <v>220</v>
      </c>
      <c r="AH5" s="102"/>
    </row>
    <row r="6" spans="1:34" x14ac:dyDescent="0.25">
      <c r="A6" s="213"/>
      <c r="B6" s="376"/>
      <c r="C6" s="376"/>
      <c r="D6" s="102">
        <v>2011</v>
      </c>
      <c r="E6" s="102">
        <v>2011</v>
      </c>
      <c r="F6" s="102"/>
      <c r="G6" s="213"/>
      <c r="H6" s="102">
        <v>2012</v>
      </c>
      <c r="I6" s="102">
        <v>2012</v>
      </c>
      <c r="J6" s="102"/>
      <c r="K6" s="213"/>
      <c r="L6" s="102">
        <v>2013</v>
      </c>
      <c r="M6" s="102">
        <v>2013</v>
      </c>
      <c r="N6" s="102"/>
      <c r="O6" s="213"/>
      <c r="P6" s="102">
        <v>2014</v>
      </c>
      <c r="Q6" s="102">
        <v>2014</v>
      </c>
      <c r="R6" s="102"/>
      <c r="S6" s="213"/>
      <c r="T6" s="102">
        <v>2015</v>
      </c>
      <c r="U6" s="102">
        <v>2015</v>
      </c>
      <c r="V6" s="102"/>
      <c r="W6" s="213"/>
      <c r="X6" s="102">
        <v>2016</v>
      </c>
      <c r="Y6" s="102">
        <v>2016</v>
      </c>
      <c r="Z6" s="102"/>
      <c r="AA6" s="213"/>
      <c r="AB6" s="102">
        <v>2017</v>
      </c>
      <c r="AC6" s="102">
        <v>2017</v>
      </c>
      <c r="AD6" s="102"/>
      <c r="AE6" s="213"/>
      <c r="AF6" s="102">
        <v>2018</v>
      </c>
      <c r="AG6" s="102">
        <v>2018</v>
      </c>
      <c r="AH6" s="102"/>
    </row>
    <row r="7" spans="1:34" x14ac:dyDescent="0.25">
      <c r="A7" s="213"/>
      <c r="B7" s="376"/>
      <c r="C7" s="376"/>
      <c r="D7" s="102" t="s">
        <v>269</v>
      </c>
      <c r="E7" s="102" t="s">
        <v>270</v>
      </c>
      <c r="F7" s="102"/>
      <c r="G7" s="213"/>
      <c r="H7" s="102" t="s">
        <v>269</v>
      </c>
      <c r="I7" s="102" t="s">
        <v>270</v>
      </c>
      <c r="J7" s="102"/>
      <c r="K7" s="213"/>
      <c r="L7" s="102" t="s">
        <v>269</v>
      </c>
      <c r="M7" s="102" t="s">
        <v>270</v>
      </c>
      <c r="N7" s="102"/>
      <c r="O7" s="213"/>
      <c r="P7" s="102" t="s">
        <v>269</v>
      </c>
      <c r="Q7" s="102" t="s">
        <v>270</v>
      </c>
      <c r="R7" s="102"/>
      <c r="S7" s="213"/>
      <c r="T7" s="102" t="s">
        <v>269</v>
      </c>
      <c r="U7" s="102" t="s">
        <v>270</v>
      </c>
      <c r="V7" s="102"/>
      <c r="W7" s="213"/>
      <c r="X7" s="102" t="s">
        <v>269</v>
      </c>
      <c r="Y7" s="102" t="s">
        <v>270</v>
      </c>
      <c r="Z7" s="102"/>
      <c r="AA7" s="213"/>
      <c r="AB7" s="102" t="s">
        <v>269</v>
      </c>
      <c r="AC7" s="102" t="s">
        <v>270</v>
      </c>
      <c r="AD7" s="102"/>
      <c r="AE7" s="213"/>
      <c r="AF7" s="102" t="s">
        <v>269</v>
      </c>
      <c r="AG7" s="102" t="s">
        <v>270</v>
      </c>
      <c r="AH7" s="102"/>
    </row>
    <row r="8" spans="1:34" x14ac:dyDescent="0.25">
      <c r="A8" s="77" t="s">
        <v>991</v>
      </c>
    </row>
  </sheetData>
  <pageMargins left="0.75" right="0.75" top="1" bottom="1" header="0.5" footer="0.5"/>
  <pageSetup scale="61" orientation="landscape" verticalDpi="1200" r:id="rId1"/>
  <headerFooter alignWithMargins="0">
    <oddHeader>&amp;C&amp;"-,Bold"Proposed Budget &amp; Analysis Report for FY20</oddHeader>
    <oddFooter>&amp;C&amp;D&amp;T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T425"/>
  <sheetViews>
    <sheetView zoomScaleNormal="100" zoomScaleSheetLayoutView="100" workbookViewId="0">
      <selection activeCell="C15" sqref="C15"/>
    </sheetView>
  </sheetViews>
  <sheetFormatPr defaultRowHeight="13.5" x14ac:dyDescent="0.25"/>
  <cols>
    <col min="1" max="1" width="19" style="161" bestFit="1" customWidth="1"/>
    <col min="2" max="2" width="6.28515625" style="161" customWidth="1"/>
    <col min="3" max="3" width="40.85546875" style="161" customWidth="1"/>
    <col min="4" max="4" width="13.28515625" style="211" hidden="1" customWidth="1"/>
    <col min="5" max="5" width="13.7109375" style="211" hidden="1" customWidth="1"/>
    <col min="6" max="6" width="6.140625" style="211" hidden="1" customWidth="1"/>
    <col min="7" max="7" width="1.85546875" style="211" hidden="1" customWidth="1"/>
    <col min="8" max="8" width="13.28515625" style="211" hidden="1" customWidth="1"/>
    <col min="9" max="9" width="13.7109375" style="211" hidden="1" customWidth="1"/>
    <col min="10" max="10" width="8" style="211" hidden="1" customWidth="1"/>
    <col min="11" max="11" width="1.85546875" style="211" hidden="1" customWidth="1"/>
    <col min="12" max="12" width="13.28515625" style="211" hidden="1" customWidth="1"/>
    <col min="13" max="13" width="13.7109375" style="211" hidden="1" customWidth="1"/>
    <col min="14" max="14" width="8.5703125" style="211" hidden="1" customWidth="1"/>
    <col min="15" max="15" width="1.85546875" style="211" hidden="1" customWidth="1"/>
    <col min="16" max="16" width="13.28515625" style="211" hidden="1" customWidth="1"/>
    <col min="17" max="17" width="13.7109375" style="211" hidden="1" customWidth="1"/>
    <col min="18" max="18" width="9" style="211" hidden="1" customWidth="1"/>
    <col min="19" max="19" width="1.85546875" style="211" hidden="1" customWidth="1"/>
    <col min="20" max="20" width="13.28515625" style="161" hidden="1" customWidth="1"/>
    <col min="21" max="21" width="13.7109375" style="161" hidden="1" customWidth="1"/>
    <col min="22" max="22" width="8.5703125" style="161" hidden="1" customWidth="1"/>
    <col min="23" max="23" width="1.85546875" style="161" hidden="1" customWidth="1"/>
    <col min="24" max="24" width="12.42578125" style="161" hidden="1" customWidth="1"/>
    <col min="25" max="25" width="11.5703125" style="161" hidden="1" customWidth="1"/>
    <col min="26" max="26" width="9.5703125" style="161" hidden="1" customWidth="1"/>
    <col min="27" max="27" width="2.42578125" style="161" hidden="1" customWidth="1"/>
    <col min="28" max="28" width="13.28515625" style="161" customWidth="1"/>
    <col min="29" max="29" width="11.7109375" style="161" customWidth="1"/>
    <col min="30" max="30" width="9.28515625" style="161" customWidth="1"/>
    <col min="31" max="31" width="2.42578125" style="211" customWidth="1"/>
    <col min="32" max="32" width="13.28515625" style="211" hidden="1" customWidth="1"/>
    <col min="33" max="33" width="13.28515625" style="211" bestFit="1" customWidth="1"/>
    <col min="34" max="34" width="14.140625" style="211" customWidth="1"/>
    <col min="35" max="35" width="9.28515625" style="211" customWidth="1"/>
    <col min="36" max="36" width="1.85546875" style="161" customWidth="1"/>
    <col min="37" max="38" width="13.28515625" style="394" bestFit="1" customWidth="1"/>
    <col min="39" max="39" width="9.28515625" style="394" customWidth="1"/>
    <col min="40" max="40" width="2.42578125" style="394" customWidth="1"/>
    <col min="41" max="41" width="13.140625" style="162" customWidth="1"/>
    <col min="42" max="42" width="12.28515625" style="161" bestFit="1" customWidth="1"/>
    <col min="43" max="43" width="12.5703125" style="161" customWidth="1"/>
    <col min="44" max="44" width="42.7109375" style="161" customWidth="1"/>
    <col min="45" max="45" width="11.42578125" style="161" bestFit="1" customWidth="1"/>
    <col min="46" max="16384" width="9.140625" style="161"/>
  </cols>
  <sheetData>
    <row r="1" spans="1:44" s="211" customFormat="1" x14ac:dyDescent="0.25">
      <c r="B1" s="125"/>
      <c r="G1" s="213"/>
      <c r="K1" s="213"/>
      <c r="O1" s="213"/>
      <c r="S1" s="213"/>
      <c r="W1" s="213"/>
      <c r="AA1" s="213"/>
      <c r="AE1" s="213"/>
      <c r="AK1" s="394"/>
      <c r="AL1" s="394"/>
      <c r="AM1" s="394"/>
      <c r="AN1" s="397"/>
      <c r="AO1" s="212"/>
      <c r="AP1" s="212"/>
    </row>
    <row r="2" spans="1:44" s="211" customFormat="1" x14ac:dyDescent="0.25">
      <c r="B2" s="125"/>
      <c r="G2" s="213"/>
      <c r="K2" s="213"/>
      <c r="O2" s="213"/>
      <c r="S2" s="213"/>
      <c r="W2" s="213"/>
      <c r="AA2" s="213"/>
      <c r="AE2" s="213"/>
      <c r="AK2" s="394"/>
      <c r="AL2" s="394"/>
      <c r="AM2" s="394"/>
      <c r="AN2" s="397"/>
      <c r="AO2" s="212"/>
      <c r="AP2" s="212"/>
    </row>
    <row r="3" spans="1:4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0"/>
      <c r="AK3" s="807" t="s">
        <v>1592</v>
      </c>
      <c r="AL3" s="808"/>
      <c r="AM3" s="809"/>
      <c r="AO3" s="805" t="s">
        <v>1593</v>
      </c>
      <c r="AP3" s="805"/>
      <c r="AQ3" s="805"/>
      <c r="AR3" s="805"/>
    </row>
    <row r="4" spans="1:44" ht="27" x14ac:dyDescent="0.25">
      <c r="A4" s="271"/>
      <c r="B4" s="271"/>
      <c r="C4" s="511" t="s">
        <v>1983</v>
      </c>
      <c r="D4" s="106" t="s">
        <v>25</v>
      </c>
      <c r="E4" s="106" t="s">
        <v>27</v>
      </c>
      <c r="F4" s="106" t="s">
        <v>273</v>
      </c>
      <c r="H4" s="106" t="s">
        <v>25</v>
      </c>
      <c r="I4" s="106" t="s">
        <v>27</v>
      </c>
      <c r="J4" s="106" t="s">
        <v>273</v>
      </c>
      <c r="L4" s="106" t="s">
        <v>25</v>
      </c>
      <c r="M4" s="106" t="s">
        <v>27</v>
      </c>
      <c r="N4" s="106" t="s">
        <v>273</v>
      </c>
      <c r="P4" s="106" t="s">
        <v>25</v>
      </c>
      <c r="Q4" s="106" t="s">
        <v>27</v>
      </c>
      <c r="R4" s="106" t="s">
        <v>273</v>
      </c>
      <c r="T4" s="106" t="s">
        <v>25</v>
      </c>
      <c r="U4" s="106" t="s">
        <v>27</v>
      </c>
      <c r="V4" s="106" t="s">
        <v>273</v>
      </c>
      <c r="X4" s="199" t="s">
        <v>25</v>
      </c>
      <c r="Y4" s="106" t="s">
        <v>27</v>
      </c>
      <c r="Z4" s="106" t="s">
        <v>273</v>
      </c>
      <c r="AB4" s="199" t="s">
        <v>25</v>
      </c>
      <c r="AC4" s="106" t="s">
        <v>27</v>
      </c>
      <c r="AD4" s="106" t="s">
        <v>273</v>
      </c>
      <c r="AF4" s="199" t="s">
        <v>25</v>
      </c>
      <c r="AG4" s="379" t="s">
        <v>1369</v>
      </c>
      <c r="AH4" s="106" t="s">
        <v>27</v>
      </c>
      <c r="AI4" s="106" t="s">
        <v>273</v>
      </c>
      <c r="AJ4" s="106"/>
      <c r="AK4" s="199" t="s">
        <v>25</v>
      </c>
      <c r="AL4" s="439" t="s">
        <v>1714</v>
      </c>
      <c r="AM4" s="106" t="s">
        <v>273</v>
      </c>
      <c r="AO4" s="107" t="s">
        <v>274</v>
      </c>
      <c r="AP4" s="108" t="s">
        <v>107</v>
      </c>
      <c r="AQ4" s="109" t="s">
        <v>28</v>
      </c>
      <c r="AR4" s="110" t="s">
        <v>275</v>
      </c>
    </row>
    <row r="5" spans="1:44" x14ac:dyDescent="0.25">
      <c r="A5" s="111" t="s">
        <v>272</v>
      </c>
      <c r="C5" s="111" t="s">
        <v>276</v>
      </c>
      <c r="AR5" s="111"/>
    </row>
    <row r="6" spans="1:44" ht="14.25" x14ac:dyDescent="0.3">
      <c r="A6" s="161" t="s">
        <v>561</v>
      </c>
      <c r="B6" s="119" t="str">
        <f t="shared" ref="B6:B21" si="0">MID(A6,14,4)</f>
        <v>5188</v>
      </c>
      <c r="C6" s="161" t="s">
        <v>1570</v>
      </c>
      <c r="D6" s="398">
        <v>62619.12</v>
      </c>
      <c r="E6" s="398">
        <v>48798.92</v>
      </c>
      <c r="F6" s="396"/>
      <c r="G6" s="397"/>
      <c r="H6" s="398">
        <v>64248</v>
      </c>
      <c r="I6" s="398">
        <v>64432.38</v>
      </c>
      <c r="J6" s="89">
        <v>2.601250225170838E-2</v>
      </c>
      <c r="K6" s="397"/>
      <c r="L6" s="398">
        <v>68423.759999999995</v>
      </c>
      <c r="M6" s="398">
        <v>70636.800000000003</v>
      </c>
      <c r="N6" s="89">
        <v>6.4994396712738059E-2</v>
      </c>
      <c r="O6" s="397"/>
      <c r="P6" s="398">
        <v>75063.600000000006</v>
      </c>
      <c r="Q6" s="398">
        <v>75063.56</v>
      </c>
      <c r="R6" s="89">
        <v>9.703997558742769E-2</v>
      </c>
      <c r="S6" s="397"/>
      <c r="T6" s="398">
        <v>78842.880000000005</v>
      </c>
      <c r="U6" s="398">
        <v>73962.61</v>
      </c>
      <c r="V6" s="89">
        <v>5.0347705146036141E-2</v>
      </c>
      <c r="W6" s="397"/>
      <c r="X6" s="398">
        <v>82959.679999999993</v>
      </c>
      <c r="Y6" s="398">
        <v>74495.679999999993</v>
      </c>
      <c r="Z6" s="89">
        <v>5.2215241249431631E-2</v>
      </c>
      <c r="AA6" s="397"/>
      <c r="AB6" s="398">
        <v>77945.039999999994</v>
      </c>
      <c r="AC6" s="398">
        <v>76003.199999999997</v>
      </c>
      <c r="AD6" s="89">
        <v>-6.0446713391372774E-2</v>
      </c>
      <c r="AE6" s="213"/>
      <c r="AF6" s="212">
        <v>79448.399999999994</v>
      </c>
      <c r="AG6" s="380">
        <v>91203.839999999997</v>
      </c>
      <c r="AH6" s="245">
        <v>90854.399999999994</v>
      </c>
      <c r="AI6" s="216">
        <f>(AG6-AB6)/AB6</f>
        <v>0.17010447361371556</v>
      </c>
      <c r="AJ6" s="80"/>
      <c r="AK6" s="398">
        <v>96194.16</v>
      </c>
      <c r="AL6" s="398">
        <v>45862.68</v>
      </c>
      <c r="AM6" s="396">
        <f>(AK6-AG6)/AG6</f>
        <v>5.4716117216117292E-2</v>
      </c>
      <c r="AN6" s="397"/>
      <c r="AO6" s="163">
        <f>'FY20 Payroll Schedule'!J124</f>
        <v>101769.12000000001</v>
      </c>
      <c r="AP6" s="104">
        <f>AO6-AK6</f>
        <v>5574.9600000000064</v>
      </c>
      <c r="AQ6" s="396">
        <f>(AO6-AK6)/AK6</f>
        <v>5.7955285435207358E-2</v>
      </c>
      <c r="AR6" s="156" t="s">
        <v>1828</v>
      </c>
    </row>
    <row r="7" spans="1:44" ht="14.25" x14ac:dyDescent="0.3">
      <c r="A7" s="161" t="s">
        <v>562</v>
      </c>
      <c r="B7" s="119" t="str">
        <f t="shared" si="0"/>
        <v>5122</v>
      </c>
      <c r="C7" s="161" t="s">
        <v>1571</v>
      </c>
      <c r="D7" s="398">
        <v>57002.400000000001</v>
      </c>
      <c r="E7" s="398">
        <v>8406.19</v>
      </c>
      <c r="F7" s="396"/>
      <c r="G7" s="397"/>
      <c r="H7" s="398">
        <v>59487</v>
      </c>
      <c r="I7" s="398">
        <v>19743.57</v>
      </c>
      <c r="J7" s="89">
        <v>4.3587638415224596E-2</v>
      </c>
      <c r="K7" s="397"/>
      <c r="L7" s="398">
        <v>63412.56</v>
      </c>
      <c r="M7" s="398">
        <v>61027.199999999997</v>
      </c>
      <c r="N7" s="89">
        <v>6.5990216349790673E-2</v>
      </c>
      <c r="O7" s="397"/>
      <c r="P7" s="398">
        <v>64936.800000000003</v>
      </c>
      <c r="Q7" s="398">
        <v>64890.15</v>
      </c>
      <c r="R7" s="89">
        <v>2.403687849851836E-2</v>
      </c>
      <c r="S7" s="397"/>
      <c r="T7" s="398">
        <v>68214.960000000006</v>
      </c>
      <c r="U7" s="398">
        <v>68280.31</v>
      </c>
      <c r="V7" s="89">
        <v>5.0482315112540248E-2</v>
      </c>
      <c r="W7" s="397"/>
      <c r="X7" s="398">
        <v>71808.960000000006</v>
      </c>
      <c r="Y7" s="398">
        <v>52395.96</v>
      </c>
      <c r="Z7" s="89">
        <v>5.2686390199451844E-2</v>
      </c>
      <c r="AA7" s="397"/>
      <c r="AB7" s="398">
        <v>69801.84</v>
      </c>
      <c r="AC7" s="398">
        <v>69266.960000000006</v>
      </c>
      <c r="AD7" s="89">
        <v>-2.795082953436465E-2</v>
      </c>
      <c r="AE7" s="213"/>
      <c r="AF7" s="212">
        <v>72975.600000000006</v>
      </c>
      <c r="AG7" s="380">
        <v>79302.240000000005</v>
      </c>
      <c r="AH7" s="245">
        <v>78998.399999999994</v>
      </c>
      <c r="AI7" s="216">
        <f t="shared" ref="AI7:AI72" si="1">(AG7-AB7)/AB7</f>
        <v>0.13610529464552809</v>
      </c>
      <c r="AJ7" s="80"/>
      <c r="AK7" s="398">
        <v>83645.279999999999</v>
      </c>
      <c r="AL7" s="398">
        <v>40060</v>
      </c>
      <c r="AM7" s="396">
        <f t="shared" ref="AM7:AM70" si="2">(AK7-AG7)/AG7</f>
        <v>5.4765666140073638E-2</v>
      </c>
      <c r="AN7" s="397"/>
      <c r="AO7" s="163">
        <f>'FY20 Payroll Schedule'!J125</f>
        <v>88489.44</v>
      </c>
      <c r="AP7" s="399">
        <f t="shared" ref="AP7:AP70" si="3">AO7-AK7</f>
        <v>4844.1600000000035</v>
      </c>
      <c r="AQ7" s="396">
        <f t="shared" ref="AQ7:AQ70" si="4">(AO7-AK7)/AK7</f>
        <v>5.7913130304543231E-2</v>
      </c>
      <c r="AR7" s="156" t="s">
        <v>1829</v>
      </c>
    </row>
    <row r="8" spans="1:44" ht="14.25" x14ac:dyDescent="0.3">
      <c r="A8" s="119" t="s">
        <v>563</v>
      </c>
      <c r="B8" s="119" t="str">
        <f t="shared" si="0"/>
        <v>5160</v>
      </c>
      <c r="C8" s="161" t="s">
        <v>1572</v>
      </c>
      <c r="D8" s="398">
        <v>0</v>
      </c>
      <c r="E8" s="398">
        <v>0</v>
      </c>
      <c r="F8" s="396"/>
      <c r="G8" s="397"/>
      <c r="H8" s="398">
        <v>42533</v>
      </c>
      <c r="I8" s="398">
        <v>38580.78</v>
      </c>
      <c r="J8" s="89"/>
      <c r="K8" s="397"/>
      <c r="L8" s="398">
        <v>45309.599999999999</v>
      </c>
      <c r="M8" s="398">
        <v>55642.61</v>
      </c>
      <c r="N8" s="89">
        <v>6.5281075870500513E-2</v>
      </c>
      <c r="O8" s="397"/>
      <c r="P8" s="398">
        <v>52346.16</v>
      </c>
      <c r="Q8" s="398">
        <v>53976</v>
      </c>
      <c r="R8" s="89">
        <v>0.15529953917050704</v>
      </c>
      <c r="S8" s="397"/>
      <c r="T8" s="398">
        <v>56877.120000000003</v>
      </c>
      <c r="U8" s="398">
        <v>57285.72</v>
      </c>
      <c r="V8" s="89">
        <v>8.65576386118867E-2</v>
      </c>
      <c r="W8" s="397"/>
      <c r="X8" s="398">
        <v>59819.839999999997</v>
      </c>
      <c r="Y8" s="398">
        <v>53238.84</v>
      </c>
      <c r="Z8" s="89">
        <v>5.1738203340816025E-2</v>
      </c>
      <c r="AA8" s="397"/>
      <c r="AB8" s="398">
        <v>58192.56</v>
      </c>
      <c r="AC8" s="398">
        <v>58977.8</v>
      </c>
      <c r="AD8" s="89">
        <v>-2.7203014919464828E-2</v>
      </c>
      <c r="AE8" s="213"/>
      <c r="AF8" s="212">
        <v>62472.959999999999</v>
      </c>
      <c r="AG8" s="380">
        <v>66690.720000000001</v>
      </c>
      <c r="AH8" s="245">
        <v>66435.199999999997</v>
      </c>
      <c r="AI8" s="216">
        <f t="shared" si="1"/>
        <v>0.14603516325798355</v>
      </c>
      <c r="AJ8" s="80"/>
      <c r="AK8" s="398">
        <v>70344.72</v>
      </c>
      <c r="AL8" s="398">
        <v>33690</v>
      </c>
      <c r="AM8" s="396">
        <f t="shared" si="2"/>
        <v>5.4790231684408268E-2</v>
      </c>
      <c r="AN8" s="397"/>
      <c r="AO8" s="163">
        <f>'FY20 Payroll Schedule'!J126</f>
        <v>74416.319999999992</v>
      </c>
      <c r="AP8" s="399">
        <f t="shared" si="3"/>
        <v>4071.5999999999913</v>
      </c>
      <c r="AQ8" s="396">
        <f t="shared" si="4"/>
        <v>5.7880676758681977E-2</v>
      </c>
      <c r="AR8" s="156" t="s">
        <v>1830</v>
      </c>
    </row>
    <row r="9" spans="1:44" ht="14.25" x14ac:dyDescent="0.3">
      <c r="A9" s="119" t="s">
        <v>564</v>
      </c>
      <c r="B9" s="119" t="str">
        <f t="shared" si="0"/>
        <v>5161</v>
      </c>
      <c r="C9" s="161" t="s">
        <v>1573</v>
      </c>
      <c r="D9" s="398">
        <v>0</v>
      </c>
      <c r="E9" s="398">
        <v>0</v>
      </c>
      <c r="F9" s="396"/>
      <c r="G9" s="397"/>
      <c r="H9" s="398">
        <v>31899</v>
      </c>
      <c r="I9" s="398">
        <v>10169.73</v>
      </c>
      <c r="J9" s="89"/>
      <c r="K9" s="397"/>
      <c r="L9" s="398">
        <v>33982.199999999997</v>
      </c>
      <c r="M9" s="398">
        <v>0</v>
      </c>
      <c r="N9" s="89">
        <v>6.5306122448979501E-2</v>
      </c>
      <c r="O9" s="397"/>
      <c r="P9" s="398">
        <v>51838.78</v>
      </c>
      <c r="Q9" s="398">
        <v>58060.04</v>
      </c>
      <c r="R9" s="89">
        <v>0.52546862769332192</v>
      </c>
      <c r="S9" s="397"/>
      <c r="T9" s="398">
        <v>60948.72</v>
      </c>
      <c r="U9" s="398">
        <v>61182.25</v>
      </c>
      <c r="V9" s="89">
        <v>0.17573600304636805</v>
      </c>
      <c r="W9" s="397"/>
      <c r="X9" s="398">
        <v>64116.639999999999</v>
      </c>
      <c r="Y9" s="398">
        <v>45655.92</v>
      </c>
      <c r="Z9" s="89">
        <v>5.1976809357111985E-2</v>
      </c>
      <c r="AA9" s="397"/>
      <c r="AB9" s="398">
        <v>66711.600000000006</v>
      </c>
      <c r="AC9" s="398">
        <v>57832.6</v>
      </c>
      <c r="AD9" s="89">
        <v>4.0472488888999895E-2</v>
      </c>
      <c r="AE9" s="213"/>
      <c r="AF9" s="212">
        <v>62472.959999999999</v>
      </c>
      <c r="AG9" s="380">
        <v>66690.720000000001</v>
      </c>
      <c r="AH9" s="245">
        <v>66850.42</v>
      </c>
      <c r="AI9" s="216">
        <f t="shared" si="1"/>
        <v>-3.1298904538348138E-4</v>
      </c>
      <c r="AJ9" s="80"/>
      <c r="AK9" s="398">
        <v>70344.72</v>
      </c>
      <c r="AL9" s="398">
        <v>33690</v>
      </c>
      <c r="AM9" s="396">
        <f t="shared" si="2"/>
        <v>5.4790231684408268E-2</v>
      </c>
      <c r="AN9" s="397"/>
      <c r="AO9" s="163">
        <f>'FY20 Payroll Schedule'!J127</f>
        <v>74416.319999999992</v>
      </c>
      <c r="AP9" s="399">
        <f t="shared" si="3"/>
        <v>4071.5999999999913</v>
      </c>
      <c r="AQ9" s="396">
        <f t="shared" si="4"/>
        <v>5.7880676758681977E-2</v>
      </c>
      <c r="AR9" s="156" t="s">
        <v>1831</v>
      </c>
    </row>
    <row r="10" spans="1:44" ht="14.25" x14ac:dyDescent="0.3">
      <c r="A10" s="119" t="s">
        <v>1072</v>
      </c>
      <c r="B10" s="119" t="str">
        <f>MID(A10,14,4)</f>
        <v>5198</v>
      </c>
      <c r="C10" s="161" t="s">
        <v>1574</v>
      </c>
      <c r="D10" s="398">
        <v>0</v>
      </c>
      <c r="E10" s="398">
        <v>0</v>
      </c>
      <c r="F10" s="396"/>
      <c r="G10" s="397"/>
      <c r="H10" s="398">
        <v>0</v>
      </c>
      <c r="I10" s="398">
        <v>0</v>
      </c>
      <c r="J10" s="89"/>
      <c r="K10" s="397"/>
      <c r="L10" s="398">
        <v>0</v>
      </c>
      <c r="M10" s="398">
        <v>0</v>
      </c>
      <c r="N10" s="89"/>
      <c r="O10" s="397"/>
      <c r="P10" s="398">
        <v>0</v>
      </c>
      <c r="Q10" s="398">
        <v>0</v>
      </c>
      <c r="R10" s="89"/>
      <c r="S10" s="397"/>
      <c r="T10" s="398">
        <v>0</v>
      </c>
      <c r="U10" s="398">
        <v>0</v>
      </c>
      <c r="V10" s="89"/>
      <c r="W10" s="397"/>
      <c r="X10" s="398">
        <v>53624.17</v>
      </c>
      <c r="Y10" s="398">
        <v>54648</v>
      </c>
      <c r="Z10" s="89"/>
      <c r="AA10" s="397"/>
      <c r="AB10" s="398">
        <v>60197.04</v>
      </c>
      <c r="AC10" s="398">
        <v>61630.400000000001</v>
      </c>
      <c r="AD10" s="89">
        <v>0.12257289949662629</v>
      </c>
      <c r="AE10" s="213"/>
      <c r="AF10" s="212">
        <v>64665.36</v>
      </c>
      <c r="AG10" s="380">
        <v>69029.279999999999</v>
      </c>
      <c r="AH10" s="245">
        <v>68733.820000000007</v>
      </c>
      <c r="AI10" s="216">
        <f t="shared" si="1"/>
        <v>0.14672216441207073</v>
      </c>
      <c r="AJ10" s="80"/>
      <c r="AK10" s="398">
        <v>72808.56</v>
      </c>
      <c r="AL10" s="398">
        <v>34870</v>
      </c>
      <c r="AM10" s="396">
        <f t="shared" si="2"/>
        <v>5.4748941318814262E-2</v>
      </c>
      <c r="AN10" s="397"/>
      <c r="AO10" s="163">
        <f>'FY20 Payroll Schedule'!J128</f>
        <v>77005.440000000002</v>
      </c>
      <c r="AP10" s="399">
        <f t="shared" si="3"/>
        <v>4196.8800000000047</v>
      </c>
      <c r="AQ10" s="396">
        <f t="shared" si="4"/>
        <v>5.7642672784628687E-2</v>
      </c>
      <c r="AR10" s="156" t="s">
        <v>1832</v>
      </c>
    </row>
    <row r="11" spans="1:44" s="211" customFormat="1" ht="14.25" x14ac:dyDescent="0.3">
      <c r="A11" s="395" t="s">
        <v>1528</v>
      </c>
      <c r="B11" s="395" t="str">
        <f>MID(A11,14,4)</f>
        <v>5112</v>
      </c>
      <c r="C11" s="394" t="s">
        <v>1835</v>
      </c>
      <c r="D11" s="398"/>
      <c r="E11" s="398"/>
      <c r="F11" s="396"/>
      <c r="G11" s="397"/>
      <c r="H11" s="398"/>
      <c r="I11" s="398"/>
      <c r="J11" s="89"/>
      <c r="K11" s="397"/>
      <c r="L11" s="398"/>
      <c r="M11" s="398"/>
      <c r="N11" s="89"/>
      <c r="O11" s="397"/>
      <c r="P11" s="398"/>
      <c r="Q11" s="398"/>
      <c r="R11" s="89"/>
      <c r="S11" s="397"/>
      <c r="T11" s="398"/>
      <c r="U11" s="398"/>
      <c r="V11" s="89"/>
      <c r="W11" s="397"/>
      <c r="X11" s="398"/>
      <c r="Y11" s="398"/>
      <c r="Z11" s="89"/>
      <c r="AA11" s="397"/>
      <c r="AB11" s="398"/>
      <c r="AC11" s="398"/>
      <c r="AD11" s="89"/>
      <c r="AE11" s="213"/>
      <c r="AF11" s="212"/>
      <c r="AG11" s="380"/>
      <c r="AH11" s="245"/>
      <c r="AI11" s="216"/>
      <c r="AJ11" s="216"/>
      <c r="AK11" s="398">
        <v>49250.7</v>
      </c>
      <c r="AL11" s="398">
        <v>23988.49</v>
      </c>
      <c r="AM11" s="396" t="e">
        <f t="shared" si="2"/>
        <v>#DIV/0!</v>
      </c>
      <c r="AN11" s="397"/>
      <c r="AO11" s="163">
        <f>'FY20 Payroll Schedule'!J129</f>
        <v>52085.16</v>
      </c>
      <c r="AP11" s="399">
        <f t="shared" si="3"/>
        <v>2834.4600000000064</v>
      </c>
      <c r="AQ11" s="396">
        <f t="shared" si="4"/>
        <v>5.7551669316375335E-2</v>
      </c>
      <c r="AR11" s="156" t="s">
        <v>1833</v>
      </c>
    </row>
    <row r="12" spans="1:44" ht="14.25" x14ac:dyDescent="0.3">
      <c r="A12" s="119" t="s">
        <v>566</v>
      </c>
      <c r="B12" s="119" t="str">
        <f>MID(A12,14,4)</f>
        <v>5168</v>
      </c>
      <c r="C12" s="161" t="s">
        <v>1575</v>
      </c>
      <c r="D12" s="398">
        <v>16106.31</v>
      </c>
      <c r="E12" s="398">
        <v>11138.01</v>
      </c>
      <c r="F12" s="396"/>
      <c r="G12" s="397"/>
      <c r="H12" s="398">
        <v>16521</v>
      </c>
      <c r="I12" s="398">
        <v>15669.36</v>
      </c>
      <c r="J12" s="89">
        <v>2.5747051931820541E-2</v>
      </c>
      <c r="K12" s="397"/>
      <c r="L12" s="398">
        <v>17594.87</v>
      </c>
      <c r="M12" s="398">
        <v>629.70000000000005</v>
      </c>
      <c r="N12" s="89">
        <v>6.5000302645118274E-2</v>
      </c>
      <c r="O12" s="397"/>
      <c r="P12" s="398">
        <v>0</v>
      </c>
      <c r="Q12" s="398">
        <v>0</v>
      </c>
      <c r="R12" s="89">
        <v>-1</v>
      </c>
      <c r="S12" s="397"/>
      <c r="T12" s="398">
        <v>0</v>
      </c>
      <c r="U12" s="398">
        <v>0</v>
      </c>
      <c r="V12" s="89"/>
      <c r="W12" s="397"/>
      <c r="X12" s="398">
        <v>22977.27</v>
      </c>
      <c r="Y12" s="398">
        <v>23713.8</v>
      </c>
      <c r="Z12" s="89"/>
      <c r="AA12" s="397"/>
      <c r="AB12" s="294">
        <v>32249.16</v>
      </c>
      <c r="AC12" s="398">
        <v>27508.02</v>
      </c>
      <c r="AD12" s="89">
        <v>0.40352443958747053</v>
      </c>
      <c r="AE12" s="213"/>
      <c r="AF12" s="212">
        <v>28877.040000000001</v>
      </c>
      <c r="AG12" s="380">
        <v>29023.200000000001</v>
      </c>
      <c r="AH12" s="245">
        <v>30891.98</v>
      </c>
      <c r="AI12" s="216">
        <f t="shared" si="1"/>
        <v>-0.10003237293622529</v>
      </c>
      <c r="AJ12" s="80"/>
      <c r="AK12" s="398">
        <v>39606.75</v>
      </c>
      <c r="AL12" s="398">
        <v>19637.5</v>
      </c>
      <c r="AM12" s="396">
        <f t="shared" si="2"/>
        <v>0.36465827338129492</v>
      </c>
      <c r="AN12" s="397"/>
      <c r="AO12" s="523">
        <f>'FY20 Payroll Schedule'!J130</f>
        <v>43365.149999999994</v>
      </c>
      <c r="AP12" s="399">
        <f t="shared" si="3"/>
        <v>3758.3999999999942</v>
      </c>
      <c r="AQ12" s="396">
        <f t="shared" si="4"/>
        <v>9.4892915980230502E-2</v>
      </c>
      <c r="AR12" s="156" t="s">
        <v>1834</v>
      </c>
    </row>
    <row r="13" spans="1:44" ht="14.25" x14ac:dyDescent="0.3">
      <c r="A13" s="161" t="s">
        <v>567</v>
      </c>
      <c r="B13" s="119" t="str">
        <f>MID(A13,14,4)</f>
        <v>5180</v>
      </c>
      <c r="C13" s="161" t="s">
        <v>1576</v>
      </c>
      <c r="D13" s="398">
        <v>52000</v>
      </c>
      <c r="E13" s="398">
        <v>79275</v>
      </c>
      <c r="F13" s="396"/>
      <c r="G13" s="397"/>
      <c r="H13" s="398">
        <v>73000</v>
      </c>
      <c r="I13" s="398">
        <v>72797.5</v>
      </c>
      <c r="J13" s="89">
        <v>0.40384615384615385</v>
      </c>
      <c r="K13" s="397"/>
      <c r="L13" s="398">
        <v>73000</v>
      </c>
      <c r="M13" s="398">
        <v>71989.570000000007</v>
      </c>
      <c r="N13" s="89">
        <v>0</v>
      </c>
      <c r="O13" s="397"/>
      <c r="P13" s="398">
        <v>76440</v>
      </c>
      <c r="Q13" s="398">
        <v>77440</v>
      </c>
      <c r="R13" s="89">
        <v>4.7123287671232875E-2</v>
      </c>
      <c r="S13" s="397"/>
      <c r="T13" s="398">
        <v>80300</v>
      </c>
      <c r="U13" s="398">
        <v>78430</v>
      </c>
      <c r="V13" s="89">
        <v>5.0497121925693354E-2</v>
      </c>
      <c r="W13" s="397"/>
      <c r="X13" s="398">
        <v>80300</v>
      </c>
      <c r="Y13" s="398">
        <v>76230</v>
      </c>
      <c r="Z13" s="89">
        <v>0</v>
      </c>
      <c r="AA13" s="397"/>
      <c r="AB13" s="398">
        <v>94900</v>
      </c>
      <c r="AC13" s="398">
        <v>86710</v>
      </c>
      <c r="AD13" s="89">
        <v>0.18181818181818182</v>
      </c>
      <c r="AE13" s="213"/>
      <c r="AF13" s="245">
        <v>94900</v>
      </c>
      <c r="AG13" s="380">
        <v>94900</v>
      </c>
      <c r="AH13" s="245">
        <v>94120</v>
      </c>
      <c r="AI13" s="216">
        <f t="shared" si="1"/>
        <v>0</v>
      </c>
      <c r="AJ13" s="80"/>
      <c r="AK13" s="398">
        <v>94900</v>
      </c>
      <c r="AL13" s="398">
        <v>44460</v>
      </c>
      <c r="AM13" s="396">
        <f t="shared" si="2"/>
        <v>0</v>
      </c>
      <c r="AN13" s="397"/>
      <c r="AO13" s="408">
        <f>'FY20 Payroll Schedule'!J132</f>
        <v>94900</v>
      </c>
      <c r="AP13" s="399">
        <f t="shared" si="3"/>
        <v>0</v>
      </c>
      <c r="AQ13" s="396">
        <f t="shared" si="4"/>
        <v>0</v>
      </c>
      <c r="AR13" s="156" t="s">
        <v>1477</v>
      </c>
    </row>
    <row r="14" spans="1:44" ht="14.25" x14ac:dyDescent="0.3">
      <c r="A14" s="161" t="s">
        <v>565</v>
      </c>
      <c r="B14" s="119" t="str">
        <f t="shared" si="0"/>
        <v>5167</v>
      </c>
      <c r="C14" s="161" t="s">
        <v>1577</v>
      </c>
      <c r="D14" s="398">
        <v>78472</v>
      </c>
      <c r="E14" s="398">
        <v>98499.31</v>
      </c>
      <c r="F14" s="396"/>
      <c r="G14" s="397"/>
      <c r="H14" s="398">
        <v>62560</v>
      </c>
      <c r="I14" s="398">
        <v>66540.820000000007</v>
      </c>
      <c r="J14" s="89">
        <v>-0.2027729636048527</v>
      </c>
      <c r="K14" s="397"/>
      <c r="L14" s="398">
        <v>52000</v>
      </c>
      <c r="M14" s="398">
        <v>109323.26</v>
      </c>
      <c r="N14" s="89">
        <v>-0.16879795396419436</v>
      </c>
      <c r="O14" s="397"/>
      <c r="P14" s="398">
        <v>56000</v>
      </c>
      <c r="Q14" s="398">
        <v>77147.55</v>
      </c>
      <c r="R14" s="89">
        <v>7.6923076923076927E-2</v>
      </c>
      <c r="S14" s="397"/>
      <c r="T14" s="398">
        <v>85000</v>
      </c>
      <c r="U14" s="398">
        <v>69875.570000000007</v>
      </c>
      <c r="V14" s="89">
        <v>0.5178571428571429</v>
      </c>
      <c r="W14" s="397"/>
      <c r="X14" s="398">
        <v>93500</v>
      </c>
      <c r="Y14" s="398">
        <v>81665.48</v>
      </c>
      <c r="Z14" s="89">
        <v>0.1</v>
      </c>
      <c r="AA14" s="397"/>
      <c r="AB14" s="398">
        <v>111384</v>
      </c>
      <c r="AC14" s="398">
        <v>99272.33</v>
      </c>
      <c r="AD14" s="89">
        <v>0.19127272727272726</v>
      </c>
      <c r="AE14" s="213"/>
      <c r="AF14" s="245">
        <v>114954</v>
      </c>
      <c r="AG14" s="380">
        <v>115234</v>
      </c>
      <c r="AH14" s="245">
        <v>95728.46</v>
      </c>
      <c r="AI14" s="216">
        <f t="shared" si="1"/>
        <v>3.4565108094519861E-2</v>
      </c>
      <c r="AJ14" s="80"/>
      <c r="AK14" s="398">
        <v>122892</v>
      </c>
      <c r="AL14" s="398">
        <v>67097.919999999998</v>
      </c>
      <c r="AM14" s="396">
        <f t="shared" si="2"/>
        <v>6.6456080670635409E-2</v>
      </c>
      <c r="AN14" s="397"/>
      <c r="AO14" s="408">
        <f>'FY20 Payroll Schedule'!J135</f>
        <v>122892</v>
      </c>
      <c r="AP14" s="399">
        <f t="shared" si="3"/>
        <v>0</v>
      </c>
      <c r="AQ14" s="396">
        <f t="shared" si="4"/>
        <v>0</v>
      </c>
      <c r="AR14" s="156" t="s">
        <v>1253</v>
      </c>
    </row>
    <row r="15" spans="1:44" ht="14.25" x14ac:dyDescent="0.3">
      <c r="A15" s="119" t="s">
        <v>568</v>
      </c>
      <c r="B15" s="119" t="str">
        <f>MID(A15,14,4)</f>
        <v>5165</v>
      </c>
      <c r="C15" s="161" t="s">
        <v>1578</v>
      </c>
      <c r="D15" s="398">
        <v>0</v>
      </c>
      <c r="E15" s="398">
        <v>0</v>
      </c>
      <c r="F15" s="396"/>
      <c r="G15" s="397"/>
      <c r="H15" s="398">
        <v>17325</v>
      </c>
      <c r="I15" s="398">
        <v>21845.93</v>
      </c>
      <c r="J15" s="89"/>
      <c r="K15" s="397"/>
      <c r="L15" s="398">
        <v>16200</v>
      </c>
      <c r="M15" s="398">
        <v>15250</v>
      </c>
      <c r="N15" s="89">
        <v>-6.4935064935064929E-2</v>
      </c>
      <c r="O15" s="397"/>
      <c r="P15" s="398">
        <v>20160</v>
      </c>
      <c r="Q15" s="398">
        <v>28360</v>
      </c>
      <c r="R15" s="89">
        <v>0.24444444444444444</v>
      </c>
      <c r="S15" s="397"/>
      <c r="T15" s="398">
        <v>30360</v>
      </c>
      <c r="U15" s="398">
        <v>28192.67</v>
      </c>
      <c r="V15" s="89">
        <v>0.50595238095238093</v>
      </c>
      <c r="W15" s="397"/>
      <c r="X15" s="398">
        <v>32890</v>
      </c>
      <c r="Y15" s="398">
        <v>25370</v>
      </c>
      <c r="Z15" s="89">
        <v>8.3333333333333329E-2</v>
      </c>
      <c r="AA15" s="397"/>
      <c r="AB15" s="398">
        <v>49500</v>
      </c>
      <c r="AC15" s="398">
        <v>49586.2</v>
      </c>
      <c r="AD15" s="89">
        <v>0.50501672240802675</v>
      </c>
      <c r="AE15" s="213"/>
      <c r="AF15" s="245">
        <v>49500</v>
      </c>
      <c r="AG15" s="380">
        <v>49500</v>
      </c>
      <c r="AH15" s="245">
        <v>47871.7</v>
      </c>
      <c r="AI15" s="216">
        <f t="shared" si="1"/>
        <v>0</v>
      </c>
      <c r="AJ15" s="80"/>
      <c r="AK15" s="398">
        <v>49500</v>
      </c>
      <c r="AL15" s="398">
        <v>15067.1</v>
      </c>
      <c r="AM15" s="396">
        <f t="shared" si="2"/>
        <v>0</v>
      </c>
      <c r="AN15" s="397"/>
      <c r="AO15" s="408">
        <f>'FY20 Payroll Schedule'!J136</f>
        <v>49500</v>
      </c>
      <c r="AP15" s="399">
        <f t="shared" si="3"/>
        <v>0</v>
      </c>
      <c r="AQ15" s="396">
        <f t="shared" si="4"/>
        <v>0</v>
      </c>
      <c r="AR15" s="156" t="s">
        <v>1159</v>
      </c>
    </row>
    <row r="16" spans="1:44" ht="14.25" x14ac:dyDescent="0.3">
      <c r="A16" s="161" t="s">
        <v>569</v>
      </c>
      <c r="B16" s="119" t="str">
        <f t="shared" si="0"/>
        <v>5185</v>
      </c>
      <c r="C16" s="161" t="s">
        <v>1579</v>
      </c>
      <c r="D16" s="398">
        <v>13531.28</v>
      </c>
      <c r="E16" s="398">
        <v>50726.12</v>
      </c>
      <c r="F16" s="396"/>
      <c r="G16" s="397"/>
      <c r="H16" s="398">
        <v>14366</v>
      </c>
      <c r="I16" s="398">
        <v>37207.35</v>
      </c>
      <c r="J16" s="89">
        <v>6.168817731951444E-2</v>
      </c>
      <c r="K16" s="397"/>
      <c r="L16" s="398">
        <v>19133.3</v>
      </c>
      <c r="M16" s="398">
        <v>29764.34</v>
      </c>
      <c r="N16" s="89">
        <v>0.3318460253376026</v>
      </c>
      <c r="O16" s="397"/>
      <c r="P16" s="398">
        <v>27913.599999999999</v>
      </c>
      <c r="Q16" s="398">
        <v>34112.35</v>
      </c>
      <c r="R16" s="89">
        <v>0.45890149634407029</v>
      </c>
      <c r="S16" s="397"/>
      <c r="T16" s="398">
        <v>37000</v>
      </c>
      <c r="U16" s="398">
        <v>51897.77</v>
      </c>
      <c r="V16" s="89">
        <v>0.32551874355153049</v>
      </c>
      <c r="W16" s="397"/>
      <c r="X16" s="398">
        <v>35000</v>
      </c>
      <c r="Y16" s="398">
        <v>85881.84</v>
      </c>
      <c r="Z16" s="89">
        <v>-5.4054054054054057E-2</v>
      </c>
      <c r="AA16" s="397"/>
      <c r="AB16" s="398">
        <v>48360</v>
      </c>
      <c r="AC16" s="398">
        <v>37250.339999999997</v>
      </c>
      <c r="AD16" s="89">
        <v>0.38171428571428573</v>
      </c>
      <c r="AE16" s="213"/>
      <c r="AF16" s="245">
        <v>48360</v>
      </c>
      <c r="AG16" s="380">
        <v>48360</v>
      </c>
      <c r="AH16" s="245">
        <v>42529.49</v>
      </c>
      <c r="AI16" s="216">
        <f t="shared" si="1"/>
        <v>0</v>
      </c>
      <c r="AJ16" s="80"/>
      <c r="AK16" s="398">
        <v>0</v>
      </c>
      <c r="AL16" s="398"/>
      <c r="AM16" s="396">
        <f t="shared" si="2"/>
        <v>-1</v>
      </c>
      <c r="AN16" s="397"/>
      <c r="AO16" s="163"/>
      <c r="AP16" s="399">
        <f t="shared" si="3"/>
        <v>0</v>
      </c>
      <c r="AQ16" s="396"/>
      <c r="AR16" s="156" t="s">
        <v>1254</v>
      </c>
    </row>
    <row r="17" spans="1:44" ht="14.25" x14ac:dyDescent="0.3">
      <c r="A17" s="119" t="s">
        <v>570</v>
      </c>
      <c r="B17" s="119" t="str">
        <f t="shared" si="0"/>
        <v>5179</v>
      </c>
      <c r="C17" s="161" t="s">
        <v>1580</v>
      </c>
      <c r="D17" s="398">
        <v>33480</v>
      </c>
      <c r="E17" s="398">
        <v>32475</v>
      </c>
      <c r="F17" s="396"/>
      <c r="G17" s="397"/>
      <c r="H17" s="398">
        <v>33480</v>
      </c>
      <c r="I17" s="398">
        <v>32520</v>
      </c>
      <c r="J17" s="89">
        <v>0</v>
      </c>
      <c r="K17" s="397"/>
      <c r="L17" s="398">
        <v>33480</v>
      </c>
      <c r="M17" s="398">
        <v>32160</v>
      </c>
      <c r="N17" s="89">
        <v>0</v>
      </c>
      <c r="O17" s="397"/>
      <c r="P17" s="398">
        <v>20280</v>
      </c>
      <c r="Q17" s="398">
        <v>15300.42</v>
      </c>
      <c r="R17" s="89">
        <v>-0.3942652329749104</v>
      </c>
      <c r="S17" s="397"/>
      <c r="T17" s="398">
        <v>20280</v>
      </c>
      <c r="U17" s="398">
        <v>16185</v>
      </c>
      <c r="V17" s="89">
        <v>0</v>
      </c>
      <c r="W17" s="397"/>
      <c r="X17" s="398">
        <v>18000</v>
      </c>
      <c r="Y17" s="398">
        <v>2210</v>
      </c>
      <c r="Z17" s="89">
        <v>-0.11242603550295859</v>
      </c>
      <c r="AA17" s="397"/>
      <c r="AB17" s="398">
        <v>18000</v>
      </c>
      <c r="AC17" s="398">
        <v>2558.1999999999998</v>
      </c>
      <c r="AD17" s="89">
        <v>0</v>
      </c>
      <c r="AE17" s="213"/>
      <c r="AF17" s="245">
        <v>18000</v>
      </c>
      <c r="AG17" s="380">
        <v>18000</v>
      </c>
      <c r="AH17" s="245">
        <v>0</v>
      </c>
      <c r="AI17" s="216">
        <f t="shared" si="1"/>
        <v>0</v>
      </c>
      <c r="AJ17" s="80"/>
      <c r="AK17" s="398">
        <v>0</v>
      </c>
      <c r="AL17" s="398"/>
      <c r="AM17" s="396">
        <f t="shared" si="2"/>
        <v>-1</v>
      </c>
      <c r="AN17" s="397"/>
      <c r="AO17" s="163"/>
      <c r="AP17" s="399">
        <f t="shared" si="3"/>
        <v>0</v>
      </c>
      <c r="AQ17" s="396"/>
      <c r="AR17" s="156" t="s">
        <v>1255</v>
      </c>
    </row>
    <row r="18" spans="1:44" s="211" customFormat="1" ht="14.25" x14ac:dyDescent="0.3">
      <c r="A18" s="395" t="s">
        <v>572</v>
      </c>
      <c r="B18" s="395" t="str">
        <f t="shared" si="0"/>
        <v>5124</v>
      </c>
      <c r="C18" s="211" t="s">
        <v>1400</v>
      </c>
      <c r="D18" s="398"/>
      <c r="E18" s="398"/>
      <c r="F18" s="396"/>
      <c r="G18" s="397"/>
      <c r="H18" s="398"/>
      <c r="I18" s="398"/>
      <c r="J18" s="89"/>
      <c r="K18" s="397"/>
      <c r="L18" s="398"/>
      <c r="M18" s="398"/>
      <c r="N18" s="89" t="e">
        <v>#DIV/0!</v>
      </c>
      <c r="O18" s="397"/>
      <c r="P18" s="398"/>
      <c r="Q18" s="398"/>
      <c r="R18" s="89" t="e">
        <v>#DIV/0!</v>
      </c>
      <c r="S18" s="397"/>
      <c r="T18" s="398"/>
      <c r="U18" s="398"/>
      <c r="V18" s="89" t="e">
        <v>#DIV/0!</v>
      </c>
      <c r="W18" s="397"/>
      <c r="X18" s="398"/>
      <c r="Y18" s="398"/>
      <c r="Z18" s="89" t="e">
        <v>#DIV/0!</v>
      </c>
      <c r="AA18" s="397"/>
      <c r="AB18" s="398">
        <v>0</v>
      </c>
      <c r="AC18" s="398">
        <v>0</v>
      </c>
      <c r="AD18" s="89"/>
      <c r="AE18" s="213"/>
      <c r="AF18" s="245">
        <v>16060.8</v>
      </c>
      <c r="AG18" s="380">
        <v>16060.8</v>
      </c>
      <c r="AH18" s="245">
        <v>4655.3</v>
      </c>
      <c r="AI18" s="216"/>
      <c r="AJ18" s="216"/>
      <c r="AK18" s="398">
        <v>16060.8</v>
      </c>
      <c r="AL18" s="398">
        <v>2707.81</v>
      </c>
      <c r="AM18" s="396">
        <f t="shared" si="2"/>
        <v>0</v>
      </c>
      <c r="AN18" s="397"/>
      <c r="AO18" s="163">
        <v>16060.8</v>
      </c>
      <c r="AP18" s="399">
        <f t="shared" si="3"/>
        <v>0</v>
      </c>
      <c r="AQ18" s="396">
        <f t="shared" si="4"/>
        <v>0</v>
      </c>
      <c r="AR18" s="156" t="s">
        <v>1265</v>
      </c>
    </row>
    <row r="19" spans="1:44" ht="14.25" x14ac:dyDescent="0.3">
      <c r="A19" s="161" t="s">
        <v>571</v>
      </c>
      <c r="B19" s="119" t="str">
        <f t="shared" si="0"/>
        <v>5123</v>
      </c>
      <c r="C19" s="161" t="s">
        <v>1581</v>
      </c>
      <c r="D19" s="398">
        <v>0</v>
      </c>
      <c r="E19" s="398">
        <v>0</v>
      </c>
      <c r="F19" s="396"/>
      <c r="G19" s="397"/>
      <c r="H19" s="398">
        <v>6000</v>
      </c>
      <c r="I19" s="398">
        <v>0</v>
      </c>
      <c r="J19" s="89"/>
      <c r="K19" s="397"/>
      <c r="L19" s="398">
        <v>1575</v>
      </c>
      <c r="M19" s="398">
        <v>0</v>
      </c>
      <c r="N19" s="89">
        <v>-0.73750000000000004</v>
      </c>
      <c r="O19" s="397"/>
      <c r="P19" s="398">
        <v>17177.599999999999</v>
      </c>
      <c r="Q19" s="398">
        <v>0</v>
      </c>
      <c r="R19" s="89">
        <v>9.9064126984126979</v>
      </c>
      <c r="S19" s="397"/>
      <c r="T19" s="398">
        <v>8000</v>
      </c>
      <c r="U19" s="398">
        <v>18677.55</v>
      </c>
      <c r="V19" s="89">
        <v>-0.53427719821162445</v>
      </c>
      <c r="W19" s="397"/>
      <c r="X19" s="398">
        <v>15000</v>
      </c>
      <c r="Y19" s="398">
        <v>9614.73</v>
      </c>
      <c r="Z19" s="89">
        <v>0.875</v>
      </c>
      <c r="AA19" s="397"/>
      <c r="AB19" s="398">
        <v>18100</v>
      </c>
      <c r="AC19" s="398">
        <v>2075.37</v>
      </c>
      <c r="AD19" s="89">
        <v>0.20666666666666667</v>
      </c>
      <c r="AE19" s="213"/>
      <c r="AF19" s="245">
        <v>7000</v>
      </c>
      <c r="AG19" s="380">
        <v>7000</v>
      </c>
      <c r="AH19" s="245">
        <v>2091.16</v>
      </c>
      <c r="AI19" s="216">
        <f t="shared" si="1"/>
        <v>-0.61325966850828728</v>
      </c>
      <c r="AJ19" s="80"/>
      <c r="AK19" s="398">
        <v>7000</v>
      </c>
      <c r="AL19" s="398">
        <v>636.64</v>
      </c>
      <c r="AM19" s="396">
        <f t="shared" si="2"/>
        <v>0</v>
      </c>
      <c r="AN19" s="397"/>
      <c r="AO19" s="163">
        <f>'FY20 Payroll Schedule'!J140</f>
        <v>4000</v>
      </c>
      <c r="AP19" s="399">
        <f t="shared" si="3"/>
        <v>-3000</v>
      </c>
      <c r="AQ19" s="396">
        <f t="shared" si="4"/>
        <v>-0.42857142857142855</v>
      </c>
      <c r="AR19" s="156" t="s">
        <v>1257</v>
      </c>
    </row>
    <row r="20" spans="1:44" ht="14.25" hidden="1" x14ac:dyDescent="0.3">
      <c r="A20" s="161" t="s">
        <v>572</v>
      </c>
      <c r="B20" s="119" t="str">
        <f t="shared" si="0"/>
        <v>5124</v>
      </c>
      <c r="C20" s="161" t="s">
        <v>1582</v>
      </c>
      <c r="D20" s="398">
        <v>12390.21</v>
      </c>
      <c r="E20" s="398">
        <v>9590.2099999999991</v>
      </c>
      <c r="F20" s="396"/>
      <c r="G20" s="397"/>
      <c r="H20" s="398">
        <v>12500</v>
      </c>
      <c r="I20" s="398">
        <v>7500</v>
      </c>
      <c r="J20" s="89">
        <v>8.8610281827346659E-3</v>
      </c>
      <c r="K20" s="397"/>
      <c r="L20" s="398">
        <v>12000</v>
      </c>
      <c r="M20" s="398">
        <v>0</v>
      </c>
      <c r="N20" s="89">
        <v>-0.04</v>
      </c>
      <c r="O20" s="397"/>
      <c r="P20" s="398">
        <v>2880</v>
      </c>
      <c r="Q20" s="398">
        <v>0</v>
      </c>
      <c r="R20" s="89">
        <v>-0.76</v>
      </c>
      <c r="S20" s="397"/>
      <c r="T20" s="398">
        <v>0</v>
      </c>
      <c r="U20" s="398">
        <v>0</v>
      </c>
      <c r="V20" s="89">
        <v>-1</v>
      </c>
      <c r="W20" s="397"/>
      <c r="X20" s="398">
        <v>0</v>
      </c>
      <c r="Y20" s="398">
        <v>0</v>
      </c>
      <c r="Z20" s="89" t="e">
        <v>#DIV/0!</v>
      </c>
      <c r="AA20" s="397"/>
      <c r="AB20" s="398">
        <v>0</v>
      </c>
      <c r="AC20" s="398">
        <v>0</v>
      </c>
      <c r="AD20" s="89" t="e">
        <v>#DIV/0!</v>
      </c>
      <c r="AE20" s="213"/>
      <c r="AF20" s="245"/>
      <c r="AG20" s="380">
        <v>0</v>
      </c>
      <c r="AH20" s="245"/>
      <c r="AI20" s="216" t="e">
        <f t="shared" si="1"/>
        <v>#DIV/0!</v>
      </c>
      <c r="AJ20" s="80"/>
      <c r="AK20" s="398">
        <v>0</v>
      </c>
      <c r="AL20" s="398"/>
      <c r="AM20" s="396" t="e">
        <f t="shared" si="2"/>
        <v>#DIV/0!</v>
      </c>
      <c r="AN20" s="397"/>
      <c r="AO20" s="163"/>
      <c r="AP20" s="399">
        <f t="shared" si="3"/>
        <v>0</v>
      </c>
      <c r="AQ20" s="396" t="e">
        <f t="shared" si="4"/>
        <v>#DIV/0!</v>
      </c>
      <c r="AR20" s="156"/>
    </row>
    <row r="21" spans="1:44" ht="14.25" x14ac:dyDescent="0.3">
      <c r="A21" s="119" t="s">
        <v>573</v>
      </c>
      <c r="B21" s="119" t="str">
        <f t="shared" si="0"/>
        <v>5186</v>
      </c>
      <c r="C21" s="161" t="s">
        <v>1583</v>
      </c>
      <c r="D21" s="398">
        <v>0</v>
      </c>
      <c r="E21" s="398">
        <v>0</v>
      </c>
      <c r="F21" s="396"/>
      <c r="G21" s="397"/>
      <c r="H21" s="398">
        <v>0</v>
      </c>
      <c r="I21" s="398">
        <v>1038.45</v>
      </c>
      <c r="J21" s="89"/>
      <c r="K21" s="397"/>
      <c r="L21" s="398">
        <v>0</v>
      </c>
      <c r="M21" s="398">
        <v>5648.67</v>
      </c>
      <c r="N21" s="89" t="e">
        <v>#DIV/0!</v>
      </c>
      <c r="O21" s="397"/>
      <c r="P21" s="398">
        <v>3000</v>
      </c>
      <c r="Q21" s="398">
        <v>28840.31</v>
      </c>
      <c r="R21" s="89" t="e">
        <v>#DIV/0!</v>
      </c>
      <c r="S21" s="397"/>
      <c r="T21" s="398">
        <v>18000</v>
      </c>
      <c r="U21" s="398">
        <v>9778.0400000000009</v>
      </c>
      <c r="V21" s="89">
        <v>5</v>
      </c>
      <c r="W21" s="397"/>
      <c r="X21" s="398">
        <v>20000</v>
      </c>
      <c r="Y21" s="398">
        <v>10563.65</v>
      </c>
      <c r="Z21" s="89">
        <v>0.1111111111111111</v>
      </c>
      <c r="AA21" s="397"/>
      <c r="AB21" s="398">
        <v>9000</v>
      </c>
      <c r="AC21" s="398">
        <v>14628.64</v>
      </c>
      <c r="AD21" s="89">
        <v>-0.55000000000000004</v>
      </c>
      <c r="AE21" s="213"/>
      <c r="AF21" s="245">
        <v>9000</v>
      </c>
      <c r="AG21" s="380">
        <v>9000</v>
      </c>
      <c r="AH21" s="245">
        <v>15020.38</v>
      </c>
      <c r="AI21" s="216">
        <f t="shared" si="1"/>
        <v>0</v>
      </c>
      <c r="AJ21" s="80"/>
      <c r="AK21" s="398">
        <v>9000</v>
      </c>
      <c r="AL21" s="398">
        <v>8546.75</v>
      </c>
      <c r="AM21" s="396">
        <f t="shared" si="2"/>
        <v>0</v>
      </c>
      <c r="AN21" s="397"/>
      <c r="AO21" s="163">
        <f>'FY20 Payroll Schedule'!J141</f>
        <v>15000</v>
      </c>
      <c r="AP21" s="399">
        <f t="shared" si="3"/>
        <v>6000</v>
      </c>
      <c r="AQ21" s="396">
        <f t="shared" si="4"/>
        <v>0.66666666666666663</v>
      </c>
      <c r="AR21" s="156" t="s">
        <v>1160</v>
      </c>
    </row>
    <row r="22" spans="1:44" s="211" customFormat="1" ht="14.25" x14ac:dyDescent="0.3">
      <c r="A22" s="214" t="s">
        <v>1095</v>
      </c>
      <c r="B22" s="214" t="str">
        <f>MID(A22,14,4)</f>
        <v>5130</v>
      </c>
      <c r="C22" s="211" t="s">
        <v>1584</v>
      </c>
      <c r="D22" s="398">
        <v>0</v>
      </c>
      <c r="E22" s="398">
        <v>0</v>
      </c>
      <c r="F22" s="396"/>
      <c r="G22" s="397"/>
      <c r="H22" s="398">
        <v>0</v>
      </c>
      <c r="I22" s="398">
        <v>0</v>
      </c>
      <c r="J22" s="89"/>
      <c r="K22" s="397"/>
      <c r="L22" s="398">
        <v>0</v>
      </c>
      <c r="M22" s="398">
        <v>0</v>
      </c>
      <c r="N22" s="89" t="e">
        <v>#DIV/0!</v>
      </c>
      <c r="O22" s="397"/>
      <c r="P22" s="398">
        <v>0</v>
      </c>
      <c r="Q22" s="398">
        <v>0</v>
      </c>
      <c r="R22" s="89" t="e">
        <v>#DIV/0!</v>
      </c>
      <c r="S22" s="397"/>
      <c r="T22" s="398">
        <v>0</v>
      </c>
      <c r="U22" s="398">
        <v>19601.28</v>
      </c>
      <c r="V22" s="89" t="e">
        <v>#DIV/0!</v>
      </c>
      <c r="W22" s="397"/>
      <c r="X22" s="398">
        <v>0</v>
      </c>
      <c r="Y22" s="398">
        <v>19269.88</v>
      </c>
      <c r="Z22" s="89" t="e">
        <v>#DIV/0!</v>
      </c>
      <c r="AA22" s="397"/>
      <c r="AB22" s="398">
        <v>12000</v>
      </c>
      <c r="AC22" s="398">
        <v>25630.01</v>
      </c>
      <c r="AD22" s="89" t="e">
        <v>#DIV/0!</v>
      </c>
      <c r="AE22" s="213"/>
      <c r="AF22" s="245">
        <v>12000</v>
      </c>
      <c r="AG22" s="380">
        <v>12000</v>
      </c>
      <c r="AH22" s="245">
        <v>15484.11</v>
      </c>
      <c r="AI22" s="216">
        <f t="shared" si="1"/>
        <v>0</v>
      </c>
      <c r="AJ22" s="216"/>
      <c r="AK22" s="398">
        <v>15000</v>
      </c>
      <c r="AL22" s="398">
        <v>8640.7199999999993</v>
      </c>
      <c r="AM22" s="396">
        <f t="shared" si="2"/>
        <v>0.25</v>
      </c>
      <c r="AN22" s="397"/>
      <c r="AO22" s="163">
        <v>18000</v>
      </c>
      <c r="AP22" s="399">
        <f t="shared" si="3"/>
        <v>3000</v>
      </c>
      <c r="AQ22" s="396">
        <f t="shared" si="4"/>
        <v>0.2</v>
      </c>
      <c r="AR22" s="156" t="s">
        <v>1096</v>
      </c>
    </row>
    <row r="23" spans="1:44" s="211" customFormat="1" ht="14.25" x14ac:dyDescent="0.3">
      <c r="A23" s="214" t="s">
        <v>1161</v>
      </c>
      <c r="B23" s="214" t="str">
        <f>MID(A23,14,4)</f>
        <v>5169</v>
      </c>
      <c r="C23" s="211" t="s">
        <v>1585</v>
      </c>
      <c r="D23" s="398">
        <v>4000</v>
      </c>
      <c r="E23" s="398">
        <v>4000</v>
      </c>
      <c r="F23" s="396"/>
      <c r="G23" s="397"/>
      <c r="H23" s="398">
        <v>4000</v>
      </c>
      <c r="I23" s="398">
        <v>4000</v>
      </c>
      <c r="J23" s="89">
        <v>0</v>
      </c>
      <c r="K23" s="397"/>
      <c r="L23" s="398">
        <v>4500</v>
      </c>
      <c r="M23" s="398">
        <v>0</v>
      </c>
      <c r="N23" s="89">
        <v>0.125</v>
      </c>
      <c r="O23" s="397"/>
      <c r="P23" s="398">
        <v>3000</v>
      </c>
      <c r="Q23" s="398">
        <v>0</v>
      </c>
      <c r="R23" s="89">
        <v>-0.33333333333333331</v>
      </c>
      <c r="S23" s="397"/>
      <c r="T23" s="398">
        <v>0</v>
      </c>
      <c r="U23" s="398">
        <v>0</v>
      </c>
      <c r="V23" s="89">
        <v>-1</v>
      </c>
      <c r="W23" s="397"/>
      <c r="X23" s="398">
        <v>0</v>
      </c>
      <c r="Y23" s="398">
        <v>0</v>
      </c>
      <c r="Z23" s="89" t="e">
        <v>#DIV/0!</v>
      </c>
      <c r="AA23" s="397"/>
      <c r="AB23" s="398">
        <v>10000</v>
      </c>
      <c r="AC23" s="398">
        <v>0</v>
      </c>
      <c r="AD23" s="89"/>
      <c r="AE23" s="213"/>
      <c r="AF23" s="245">
        <v>10000</v>
      </c>
      <c r="AG23" s="380">
        <v>10000</v>
      </c>
      <c r="AH23" s="245">
        <v>0</v>
      </c>
      <c r="AI23" s="216">
        <f t="shared" si="1"/>
        <v>0</v>
      </c>
      <c r="AJ23" s="216"/>
      <c r="AK23" s="398">
        <v>10000</v>
      </c>
      <c r="AL23" s="398">
        <v>0</v>
      </c>
      <c r="AM23" s="396">
        <f t="shared" si="2"/>
        <v>0</v>
      </c>
      <c r="AN23" s="397"/>
      <c r="AO23" s="408">
        <f>'FY20 Payroll Schedule'!J143</f>
        <v>10000</v>
      </c>
      <c r="AP23" s="399">
        <f t="shared" si="3"/>
        <v>0</v>
      </c>
      <c r="AQ23" s="396">
        <f t="shared" si="4"/>
        <v>0</v>
      </c>
      <c r="AR23" s="156"/>
    </row>
    <row r="24" spans="1:44" x14ac:dyDescent="0.25">
      <c r="A24" s="119" t="s">
        <v>574</v>
      </c>
      <c r="B24" s="119" t="s">
        <v>291</v>
      </c>
      <c r="C24" s="161" t="s">
        <v>1586</v>
      </c>
      <c r="D24" s="398">
        <v>0</v>
      </c>
      <c r="E24" s="398">
        <v>0</v>
      </c>
      <c r="F24" s="396"/>
      <c r="G24" s="397"/>
      <c r="H24" s="398">
        <v>0</v>
      </c>
      <c r="I24" s="398">
        <v>0</v>
      </c>
      <c r="J24" s="89"/>
      <c r="K24" s="397"/>
      <c r="L24" s="398">
        <v>0</v>
      </c>
      <c r="M24" s="398">
        <v>0</v>
      </c>
      <c r="N24" s="89" t="e">
        <v>#DIV/0!</v>
      </c>
      <c r="O24" s="397"/>
      <c r="P24" s="398">
        <v>0</v>
      </c>
      <c r="Q24" s="398">
        <v>0</v>
      </c>
      <c r="R24" s="89" t="e">
        <v>#DIV/0!</v>
      </c>
      <c r="S24" s="397"/>
      <c r="T24" s="398">
        <v>0</v>
      </c>
      <c r="U24" s="398">
        <v>0</v>
      </c>
      <c r="V24" s="89" t="e">
        <v>#DIV/0!</v>
      </c>
      <c r="W24" s="397"/>
      <c r="X24" s="398">
        <v>0</v>
      </c>
      <c r="Y24" s="398">
        <v>0</v>
      </c>
      <c r="Z24" s="89" t="e">
        <v>#DIV/0!</v>
      </c>
      <c r="AA24" s="397"/>
      <c r="AB24" s="398">
        <v>0</v>
      </c>
      <c r="AC24" s="398">
        <v>0</v>
      </c>
      <c r="AD24" s="89"/>
      <c r="AE24" s="213"/>
      <c r="AF24" s="245" t="e">
        <f ca="1">_xll.GL($A24,DATA!$M$5,DATA!$A$1,DATA!$M$6,DATA!$M$7)</f>
        <v>#NAME?</v>
      </c>
      <c r="AG24" s="380">
        <v>0</v>
      </c>
      <c r="AH24" s="245"/>
      <c r="AI24" s="216"/>
      <c r="AJ24" s="80"/>
      <c r="AK24" s="398">
        <v>0</v>
      </c>
      <c r="AL24" s="398"/>
      <c r="AM24" s="396" t="e">
        <f t="shared" si="2"/>
        <v>#DIV/0!</v>
      </c>
      <c r="AN24" s="397"/>
      <c r="AO24" s="163"/>
      <c r="AP24" s="399">
        <f t="shared" si="3"/>
        <v>0</v>
      </c>
      <c r="AQ24" s="396"/>
      <c r="AR24" s="166"/>
    </row>
    <row r="25" spans="1:44" s="114" customFormat="1" x14ac:dyDescent="0.25">
      <c r="A25" s="224"/>
      <c r="B25" s="224"/>
      <c r="C25" s="224" t="s">
        <v>26</v>
      </c>
      <c r="D25" s="225">
        <v>329601.32000000007</v>
      </c>
      <c r="E25" s="225">
        <v>342908.76</v>
      </c>
      <c r="F25" s="226">
        <v>6.1000000000000004E-3</v>
      </c>
      <c r="G25" s="224"/>
      <c r="H25" s="225">
        <v>437919</v>
      </c>
      <c r="I25" s="225">
        <v>392045.87</v>
      </c>
      <c r="J25" s="226">
        <v>0.32863242173908741</v>
      </c>
      <c r="K25" s="224"/>
      <c r="L25" s="225">
        <v>440611.29</v>
      </c>
      <c r="M25" s="225">
        <v>452072.15</v>
      </c>
      <c r="N25" s="226">
        <v>6.1479177656141408E-3</v>
      </c>
      <c r="O25" s="224"/>
      <c r="P25" s="225">
        <v>471036.54</v>
      </c>
      <c r="Q25" s="225">
        <v>513190.37999999995</v>
      </c>
      <c r="R25" s="226">
        <v>6.9052361322834016E-2</v>
      </c>
      <c r="S25" s="224"/>
      <c r="T25" s="225">
        <v>543823.68000000005</v>
      </c>
      <c r="U25" s="225">
        <v>553348.77</v>
      </c>
      <c r="V25" s="226">
        <v>0.154525464202841</v>
      </c>
      <c r="W25" s="224"/>
      <c r="X25" s="225">
        <v>649996.56000000006</v>
      </c>
      <c r="Y25" s="225">
        <v>614953.77999999991</v>
      </c>
      <c r="Z25" s="226">
        <v>0.1952340140833882</v>
      </c>
      <c r="AA25" s="224"/>
      <c r="AB25" s="225">
        <f>SUM(AB6:AB24)</f>
        <v>736341.24</v>
      </c>
      <c r="AC25" s="225">
        <f>SUM(AC6:AC24)</f>
        <v>668930.06999999995</v>
      </c>
      <c r="AD25" s="226">
        <v>0.1328</v>
      </c>
      <c r="AE25" s="224"/>
      <c r="AF25" s="225" t="e">
        <f ca="1">SUM(AF6:AF24)</f>
        <v>#NAME?</v>
      </c>
      <c r="AG25" s="382">
        <f>SUM(AG6:AG24)</f>
        <v>781994.8</v>
      </c>
      <c r="AH25" s="225">
        <f>SUM(AH6:AH24)</f>
        <v>720264.82</v>
      </c>
      <c r="AI25" s="247">
        <f>(AG25-AB25)/AB25</f>
        <v>6.2000547463564662E-2</v>
      </c>
      <c r="AJ25" s="226"/>
      <c r="AK25" s="225">
        <f>SUM(AK6:AK24)</f>
        <v>806547.69000000006</v>
      </c>
      <c r="AL25" s="225">
        <f>SUM(AL6:AL24)</f>
        <v>378955.60999999993</v>
      </c>
      <c r="AM25" s="247">
        <f t="shared" si="2"/>
        <v>3.139776632785795E-2</v>
      </c>
      <c r="AN25" s="224"/>
      <c r="AO25" s="227">
        <f>SUM(AO6:AO24)</f>
        <v>841899.75000000012</v>
      </c>
      <c r="AP25" s="227">
        <f>SUM(AP6:AP24)</f>
        <v>35352.06</v>
      </c>
      <c r="AQ25" s="247">
        <f>(AO25-AK25)/AK25</f>
        <v>4.3831332527900557E-2</v>
      </c>
      <c r="AR25" s="224"/>
    </row>
    <row r="26" spans="1:44" x14ac:dyDescent="0.25">
      <c r="D26" s="112"/>
      <c r="E26" s="112"/>
      <c r="F26" s="396"/>
      <c r="G26" s="394"/>
      <c r="H26" s="112"/>
      <c r="I26" s="112"/>
      <c r="J26" s="89"/>
      <c r="K26" s="394"/>
      <c r="L26" s="112"/>
      <c r="M26" s="112"/>
      <c r="N26" s="89"/>
      <c r="O26" s="394"/>
      <c r="P26" s="112"/>
      <c r="Q26" s="112"/>
      <c r="R26" s="89"/>
      <c r="S26" s="394"/>
      <c r="T26" s="112"/>
      <c r="U26" s="112"/>
      <c r="V26" s="89"/>
      <c r="W26" s="394"/>
      <c r="X26" s="112"/>
      <c r="Y26" s="112"/>
      <c r="Z26" s="89"/>
      <c r="AA26" s="394"/>
      <c r="AB26" s="112"/>
      <c r="AC26" s="112"/>
      <c r="AD26" s="89"/>
      <c r="AF26" s="112"/>
      <c r="AG26" s="112"/>
      <c r="AH26" s="112"/>
      <c r="AI26" s="216"/>
      <c r="AJ26" s="80"/>
      <c r="AK26" s="112"/>
      <c r="AL26" s="112"/>
      <c r="AM26" s="396"/>
      <c r="AP26" s="399">
        <f t="shared" si="3"/>
        <v>0</v>
      </c>
      <c r="AQ26" s="396"/>
    </row>
    <row r="27" spans="1:44" x14ac:dyDescent="0.25">
      <c r="C27" s="111" t="s">
        <v>277</v>
      </c>
      <c r="D27" s="112"/>
      <c r="E27" s="112"/>
      <c r="F27" s="396"/>
      <c r="G27" s="394"/>
      <c r="H27" s="112"/>
      <c r="I27" s="112"/>
      <c r="J27" s="89"/>
      <c r="K27" s="394"/>
      <c r="L27" s="112"/>
      <c r="M27" s="112"/>
      <c r="N27" s="89"/>
      <c r="O27" s="394"/>
      <c r="P27" s="112"/>
      <c r="Q27" s="112"/>
      <c r="R27" s="89"/>
      <c r="S27" s="394"/>
      <c r="T27" s="112"/>
      <c r="U27" s="112"/>
      <c r="V27" s="89"/>
      <c r="W27" s="394"/>
      <c r="X27" s="112"/>
      <c r="Y27" s="112"/>
      <c r="Z27" s="89"/>
      <c r="AA27" s="394"/>
      <c r="AB27" s="112"/>
      <c r="AC27" s="112"/>
      <c r="AD27" s="89"/>
      <c r="AF27" s="112"/>
      <c r="AG27" s="112"/>
      <c r="AH27" s="112"/>
      <c r="AI27" s="216"/>
      <c r="AJ27" s="80"/>
      <c r="AK27" s="112"/>
      <c r="AL27" s="112"/>
      <c r="AM27" s="396"/>
      <c r="AP27" s="399">
        <f t="shared" si="3"/>
        <v>0</v>
      </c>
      <c r="AQ27" s="396"/>
    </row>
    <row r="28" spans="1:44" s="211" customFormat="1" x14ac:dyDescent="0.25">
      <c r="A28" s="395" t="s">
        <v>1529</v>
      </c>
      <c r="B28" s="395" t="str">
        <f t="shared" ref="B28:B45" si="5">MID(A28,14,4)</f>
        <v>5172</v>
      </c>
      <c r="C28" s="397" t="s">
        <v>1591</v>
      </c>
      <c r="D28" s="398">
        <v>0</v>
      </c>
      <c r="E28" s="398">
        <v>0</v>
      </c>
      <c r="F28" s="396"/>
      <c r="G28" s="397"/>
      <c r="H28" s="398">
        <v>0</v>
      </c>
      <c r="I28" s="398">
        <v>0</v>
      </c>
      <c r="J28" s="89"/>
      <c r="K28" s="397"/>
      <c r="L28" s="398">
        <v>0</v>
      </c>
      <c r="M28" s="398">
        <v>0</v>
      </c>
      <c r="N28" s="89" t="e">
        <v>#DIV/0!</v>
      </c>
      <c r="O28" s="397"/>
      <c r="P28" s="398">
        <v>0</v>
      </c>
      <c r="Q28" s="398">
        <v>0</v>
      </c>
      <c r="R28" s="89" t="e">
        <v>#DIV/0!</v>
      </c>
      <c r="S28" s="397"/>
      <c r="T28" s="398">
        <v>0</v>
      </c>
      <c r="U28" s="398">
        <v>0</v>
      </c>
      <c r="V28" s="89" t="e">
        <v>#DIV/0!</v>
      </c>
      <c r="W28" s="397"/>
      <c r="X28" s="398">
        <v>0</v>
      </c>
      <c r="Y28" s="398">
        <v>0</v>
      </c>
      <c r="Z28" s="89" t="e">
        <v>#DIV/0!</v>
      </c>
      <c r="AA28" s="397"/>
      <c r="AB28" s="398">
        <v>0</v>
      </c>
      <c r="AC28" s="398">
        <v>1037.52</v>
      </c>
      <c r="AD28" s="89"/>
      <c r="AE28" s="213"/>
      <c r="AF28" s="245">
        <v>750.69</v>
      </c>
      <c r="AG28" s="398">
        <v>750.69</v>
      </c>
      <c r="AH28" s="398">
        <v>1158.28</v>
      </c>
      <c r="AI28" s="216" t="e">
        <f>(AG28-AB28)/AB28</f>
        <v>#DIV/0!</v>
      </c>
      <c r="AJ28" s="216"/>
      <c r="AK28" s="398">
        <v>241.97</v>
      </c>
      <c r="AL28" s="398">
        <v>1141.6600000000001</v>
      </c>
      <c r="AM28" s="396">
        <f t="shared" si="2"/>
        <v>-0.67766987704645054</v>
      </c>
      <c r="AN28" s="397"/>
      <c r="AO28" s="163">
        <f>AQ88</f>
        <v>2525.6992500000006</v>
      </c>
      <c r="AP28" s="399">
        <f t="shared" si="3"/>
        <v>2283.7292500000008</v>
      </c>
      <c r="AQ28" s="396">
        <f t="shared" si="4"/>
        <v>9.4380677356697138</v>
      </c>
      <c r="AR28" s="400" t="s">
        <v>2019</v>
      </c>
    </row>
    <row r="29" spans="1:44" s="211" customFormat="1" x14ac:dyDescent="0.25">
      <c r="A29" s="214" t="s">
        <v>576</v>
      </c>
      <c r="B29" s="214" t="str">
        <f t="shared" si="5"/>
        <v>5173</v>
      </c>
      <c r="C29" s="213" t="s">
        <v>1530</v>
      </c>
      <c r="D29" s="398">
        <v>22093</v>
      </c>
      <c r="E29" s="398">
        <v>2929.5</v>
      </c>
      <c r="F29" s="396"/>
      <c r="G29" s="397"/>
      <c r="H29" s="398">
        <v>60000</v>
      </c>
      <c r="I29" s="398">
        <v>0</v>
      </c>
      <c r="J29" s="89">
        <v>1.7157923324129816</v>
      </c>
      <c r="K29" s="397"/>
      <c r="L29" s="398">
        <v>45000</v>
      </c>
      <c r="M29" s="398">
        <v>8574.75</v>
      </c>
      <c r="N29" s="89">
        <v>-0.25</v>
      </c>
      <c r="O29" s="397"/>
      <c r="P29" s="398">
        <v>48465</v>
      </c>
      <c r="Q29" s="398">
        <v>34121.699999999997</v>
      </c>
      <c r="R29" s="89">
        <v>7.6999999999999999E-2</v>
      </c>
      <c r="S29" s="397"/>
      <c r="T29" s="398">
        <v>35000</v>
      </c>
      <c r="U29" s="398">
        <v>34858.800000000003</v>
      </c>
      <c r="V29" s="89">
        <v>-0.27782936139482101</v>
      </c>
      <c r="W29" s="397"/>
      <c r="X29" s="398">
        <v>76527</v>
      </c>
      <c r="Y29" s="398">
        <v>42192.9</v>
      </c>
      <c r="Z29" s="89">
        <v>1.1864857142857144</v>
      </c>
      <c r="AA29" s="397"/>
      <c r="AB29" s="398">
        <v>70000</v>
      </c>
      <c r="AC29" s="398">
        <v>66159</v>
      </c>
      <c r="AD29" s="89">
        <v>-8.5290159028839491E-2</v>
      </c>
      <c r="AE29" s="213"/>
      <c r="AF29" s="245">
        <v>87732</v>
      </c>
      <c r="AG29" s="398">
        <v>87732</v>
      </c>
      <c r="AH29" s="398">
        <v>62695.5</v>
      </c>
      <c r="AI29" s="216">
        <f t="shared" ref="AI29:AI50" si="6">(AG29-AB29)/AB29</f>
        <v>0.25331428571428571</v>
      </c>
      <c r="AJ29" s="216"/>
      <c r="AK29" s="398">
        <v>116235</v>
      </c>
      <c r="AL29" s="398">
        <v>54342</v>
      </c>
      <c r="AM29" s="396">
        <f t="shared" si="2"/>
        <v>0.32488715633976201</v>
      </c>
      <c r="AN29" s="397"/>
      <c r="AO29" s="163">
        <f>AQ90</f>
        <v>122112</v>
      </c>
      <c r="AP29" s="399">
        <f t="shared" si="3"/>
        <v>5877</v>
      </c>
      <c r="AQ29" s="396">
        <f t="shared" si="4"/>
        <v>5.0561362756484707E-2</v>
      </c>
      <c r="AR29" s="400" t="s">
        <v>2020</v>
      </c>
    </row>
    <row r="30" spans="1:44" s="211" customFormat="1" x14ac:dyDescent="0.25">
      <c r="A30" s="214" t="s">
        <v>961</v>
      </c>
      <c r="B30" s="214" t="str">
        <f t="shared" si="5"/>
        <v>5174</v>
      </c>
      <c r="C30" s="213" t="s">
        <v>1531</v>
      </c>
      <c r="D30" s="398">
        <v>0</v>
      </c>
      <c r="E30" s="398">
        <v>0</v>
      </c>
      <c r="F30" s="396"/>
      <c r="G30" s="397"/>
      <c r="H30" s="398">
        <v>0</v>
      </c>
      <c r="I30" s="398">
        <v>0</v>
      </c>
      <c r="J30" s="89"/>
      <c r="K30" s="397"/>
      <c r="L30" s="398">
        <v>0</v>
      </c>
      <c r="M30" s="398">
        <v>0</v>
      </c>
      <c r="N30" s="89"/>
      <c r="O30" s="397"/>
      <c r="P30" s="398">
        <v>0</v>
      </c>
      <c r="Q30" s="398">
        <v>116.1</v>
      </c>
      <c r="R30" s="89"/>
      <c r="S30" s="397"/>
      <c r="T30" s="398">
        <v>0</v>
      </c>
      <c r="U30" s="398">
        <v>0</v>
      </c>
      <c r="V30" s="89" t="e">
        <v>#DIV/0!</v>
      </c>
      <c r="W30" s="397"/>
      <c r="X30" s="398">
        <v>0</v>
      </c>
      <c r="Y30" s="398">
        <v>32.25</v>
      </c>
      <c r="Z30" s="89" t="e">
        <v>#DIV/0!</v>
      </c>
      <c r="AA30" s="397"/>
      <c r="AB30" s="398">
        <v>0</v>
      </c>
      <c r="AC30" s="398">
        <v>457.95</v>
      </c>
      <c r="AD30" s="89" t="e">
        <v>#DIV/0!</v>
      </c>
      <c r="AE30" s="213"/>
      <c r="AF30" s="245">
        <v>387</v>
      </c>
      <c r="AG30" s="398">
        <v>387</v>
      </c>
      <c r="AH30" s="398">
        <v>464.4</v>
      </c>
      <c r="AI30" s="216" t="e">
        <f t="shared" si="6"/>
        <v>#DIV/0!</v>
      </c>
      <c r="AJ30" s="216"/>
      <c r="AK30" s="398">
        <v>500</v>
      </c>
      <c r="AL30" s="398">
        <v>264.45</v>
      </c>
      <c r="AM30" s="396">
        <f t="shared" si="2"/>
        <v>0.29198966408268734</v>
      </c>
      <c r="AN30" s="397"/>
      <c r="AO30" s="163">
        <v>600</v>
      </c>
      <c r="AP30" s="399">
        <f t="shared" si="3"/>
        <v>100</v>
      </c>
      <c r="AQ30" s="396">
        <f t="shared" si="4"/>
        <v>0.2</v>
      </c>
      <c r="AR30" s="288" t="s">
        <v>960</v>
      </c>
    </row>
    <row r="31" spans="1:44" s="394" customFormat="1" ht="14.25" x14ac:dyDescent="0.3">
      <c r="A31" s="418" t="s">
        <v>1587</v>
      </c>
      <c r="B31" s="395" t="str">
        <f t="shared" si="5"/>
        <v>5175</v>
      </c>
      <c r="C31" s="101" t="s">
        <v>1588</v>
      </c>
      <c r="D31" s="398"/>
      <c r="E31" s="398"/>
      <c r="F31" s="396"/>
      <c r="G31" s="397"/>
      <c r="H31" s="398"/>
      <c r="I31" s="398"/>
      <c r="J31" s="89"/>
      <c r="K31" s="397"/>
      <c r="L31" s="398"/>
      <c r="M31" s="398"/>
      <c r="N31" s="89"/>
      <c r="O31" s="397"/>
      <c r="P31" s="398"/>
      <c r="Q31" s="398"/>
      <c r="R31" s="89"/>
      <c r="S31" s="397"/>
      <c r="T31" s="398"/>
      <c r="U31" s="398"/>
      <c r="V31" s="89"/>
      <c r="W31" s="397"/>
      <c r="X31" s="398"/>
      <c r="Y31" s="398"/>
      <c r="Z31" s="89"/>
      <c r="AA31" s="397"/>
      <c r="AB31" s="398"/>
      <c r="AC31" s="294">
        <v>59961.37</v>
      </c>
      <c r="AD31" s="89"/>
      <c r="AE31" s="397"/>
      <c r="AF31" s="398"/>
      <c r="AH31" s="294">
        <v>58212.74</v>
      </c>
      <c r="AI31" s="396"/>
      <c r="AJ31" s="396"/>
      <c r="AK31" s="398">
        <v>67119.66</v>
      </c>
      <c r="AL31" s="294"/>
      <c r="AM31" s="396" t="e">
        <f t="shared" si="2"/>
        <v>#DIV/0!</v>
      </c>
      <c r="AN31" s="397"/>
      <c r="AO31" s="348">
        <f>'County Retirement'!G19</f>
        <v>69053.138043792147</v>
      </c>
      <c r="AP31" s="399">
        <f t="shared" si="3"/>
        <v>1933.4780437921436</v>
      </c>
      <c r="AQ31" s="396">
        <f t="shared" si="4"/>
        <v>2.8806433819720534E-2</v>
      </c>
      <c r="AR31" s="156" t="s">
        <v>1450</v>
      </c>
    </row>
    <row r="32" spans="1:44" s="394" customFormat="1" ht="14.25" x14ac:dyDescent="0.3">
      <c r="A32" s="418"/>
      <c r="B32" s="395"/>
      <c r="C32" s="101"/>
      <c r="D32" s="398"/>
      <c r="E32" s="398"/>
      <c r="F32" s="396"/>
      <c r="G32" s="397"/>
      <c r="H32" s="398"/>
      <c r="I32" s="398"/>
      <c r="J32" s="89"/>
      <c r="K32" s="397"/>
      <c r="L32" s="398"/>
      <c r="M32" s="398"/>
      <c r="N32" s="89"/>
      <c r="O32" s="397"/>
      <c r="P32" s="398"/>
      <c r="Q32" s="398"/>
      <c r="R32" s="89"/>
      <c r="S32" s="397"/>
      <c r="T32" s="398"/>
      <c r="U32" s="398"/>
      <c r="V32" s="89"/>
      <c r="W32" s="397"/>
      <c r="X32" s="398"/>
      <c r="Y32" s="398"/>
      <c r="Z32" s="89"/>
      <c r="AA32" s="397"/>
      <c r="AB32" s="398"/>
      <c r="AC32" s="294"/>
      <c r="AD32" s="89"/>
      <c r="AE32" s="397"/>
      <c r="AF32" s="398"/>
      <c r="AH32" s="294"/>
      <c r="AI32" s="396"/>
      <c r="AJ32" s="396"/>
      <c r="AK32" s="398">
        <v>45680.34</v>
      </c>
      <c r="AL32" s="294"/>
      <c r="AM32" s="396" t="e">
        <f t="shared" si="2"/>
        <v>#DIV/0!</v>
      </c>
      <c r="AN32" s="397"/>
      <c r="AO32" s="348">
        <f>112800-AO31</f>
        <v>43746.861956207853</v>
      </c>
      <c r="AP32" s="399">
        <f t="shared" si="3"/>
        <v>-1933.4780437921436</v>
      </c>
      <c r="AQ32" s="396">
        <f t="shared" si="4"/>
        <v>-4.2326262102955974E-2</v>
      </c>
      <c r="AR32" s="520" t="s">
        <v>2123</v>
      </c>
    </row>
    <row r="33" spans="1:44" s="211" customFormat="1" x14ac:dyDescent="0.25">
      <c r="A33" s="395" t="s">
        <v>1589</v>
      </c>
      <c r="B33" s="395" t="str">
        <f t="shared" si="5"/>
        <v>5197</v>
      </c>
      <c r="C33" s="397" t="s">
        <v>1590</v>
      </c>
      <c r="D33" s="398"/>
      <c r="E33" s="398"/>
      <c r="F33" s="396"/>
      <c r="G33" s="397"/>
      <c r="H33" s="398"/>
      <c r="I33" s="398"/>
      <c r="J33" s="89"/>
      <c r="K33" s="397"/>
      <c r="L33" s="398"/>
      <c r="M33" s="398"/>
      <c r="N33" s="89"/>
      <c r="O33" s="397"/>
      <c r="P33" s="398"/>
      <c r="Q33" s="398"/>
      <c r="R33" s="89"/>
      <c r="S33" s="397"/>
      <c r="T33" s="398"/>
      <c r="U33" s="398"/>
      <c r="V33" s="89" t="e">
        <v>#DIV/0!</v>
      </c>
      <c r="W33" s="397"/>
      <c r="X33" s="398"/>
      <c r="Y33" s="398"/>
      <c r="Z33" s="89" t="e">
        <v>#DIV/0!</v>
      </c>
      <c r="AA33" s="397"/>
      <c r="AB33" s="398"/>
      <c r="AC33" s="398"/>
      <c r="AD33" s="89"/>
      <c r="AE33" s="213"/>
      <c r="AF33" s="245"/>
      <c r="AG33" s="245"/>
      <c r="AH33" s="245"/>
      <c r="AI33" s="216"/>
      <c r="AJ33" s="216"/>
      <c r="AK33" s="398">
        <v>52672</v>
      </c>
      <c r="AL33" s="398">
        <v>0</v>
      </c>
      <c r="AM33" s="396" t="e">
        <f t="shared" si="2"/>
        <v>#DIV/0!</v>
      </c>
      <c r="AN33" s="397"/>
      <c r="AO33" s="163">
        <v>52672</v>
      </c>
      <c r="AP33" s="399">
        <f t="shared" si="3"/>
        <v>0</v>
      </c>
      <c r="AQ33" s="396">
        <f t="shared" si="4"/>
        <v>0</v>
      </c>
      <c r="AR33" s="288"/>
    </row>
    <row r="34" spans="1:44" x14ac:dyDescent="0.25">
      <c r="A34" s="119" t="s">
        <v>577</v>
      </c>
      <c r="B34" s="119" t="str">
        <f t="shared" si="5"/>
        <v>5211</v>
      </c>
      <c r="C34" s="213" t="s">
        <v>1532</v>
      </c>
      <c r="D34" s="398">
        <v>0</v>
      </c>
      <c r="E34" s="398">
        <v>0</v>
      </c>
      <c r="F34" s="396"/>
      <c r="G34" s="397"/>
      <c r="H34" s="398">
        <v>0</v>
      </c>
      <c r="I34" s="398">
        <v>0</v>
      </c>
      <c r="J34" s="89"/>
      <c r="K34" s="397"/>
      <c r="L34" s="398">
        <v>100</v>
      </c>
      <c r="M34" s="398">
        <v>0</v>
      </c>
      <c r="N34" s="89"/>
      <c r="O34" s="397"/>
      <c r="P34" s="398">
        <v>250</v>
      </c>
      <c r="Q34" s="398">
        <v>453.19</v>
      </c>
      <c r="R34" s="89">
        <v>1.5</v>
      </c>
      <c r="S34" s="397"/>
      <c r="T34" s="398">
        <v>250</v>
      </c>
      <c r="U34" s="398">
        <v>583.72</v>
      </c>
      <c r="V34" s="89">
        <v>0</v>
      </c>
      <c r="W34" s="397"/>
      <c r="X34" s="398">
        <v>500</v>
      </c>
      <c r="Y34" s="398">
        <v>128.86000000000001</v>
      </c>
      <c r="Z34" s="89">
        <v>1</v>
      </c>
      <c r="AA34" s="397"/>
      <c r="AB34" s="398">
        <v>500</v>
      </c>
      <c r="AC34" s="398">
        <v>545.03</v>
      </c>
      <c r="AD34" s="89">
        <v>0</v>
      </c>
      <c r="AE34" s="213"/>
      <c r="AF34" s="245">
        <v>500</v>
      </c>
      <c r="AG34" s="398">
        <v>500</v>
      </c>
      <c r="AH34" s="398">
        <v>444.28</v>
      </c>
      <c r="AI34" s="216">
        <f t="shared" si="6"/>
        <v>0</v>
      </c>
      <c r="AJ34" s="80"/>
      <c r="AK34" s="398">
        <v>600</v>
      </c>
      <c r="AL34" s="398">
        <v>-348.32</v>
      </c>
      <c r="AM34" s="396">
        <f t="shared" si="2"/>
        <v>0.2</v>
      </c>
      <c r="AN34" s="397"/>
      <c r="AO34" s="163">
        <v>600</v>
      </c>
      <c r="AP34" s="399">
        <f t="shared" si="3"/>
        <v>0</v>
      </c>
      <c r="AQ34" s="396">
        <f t="shared" si="4"/>
        <v>0</v>
      </c>
      <c r="AR34" s="166" t="s">
        <v>909</v>
      </c>
    </row>
    <row r="35" spans="1:44" s="211" customFormat="1" x14ac:dyDescent="0.25">
      <c r="A35" s="214" t="s">
        <v>1261</v>
      </c>
      <c r="B35" s="214" t="str">
        <f t="shared" si="5"/>
        <v>5242</v>
      </c>
      <c r="C35" s="213" t="s">
        <v>1487</v>
      </c>
      <c r="D35" s="398">
        <v>0</v>
      </c>
      <c r="E35" s="398">
        <v>0</v>
      </c>
      <c r="F35" s="396"/>
      <c r="G35" s="397"/>
      <c r="H35" s="398">
        <v>0</v>
      </c>
      <c r="I35" s="398">
        <v>0</v>
      </c>
      <c r="J35" s="89"/>
      <c r="K35" s="397"/>
      <c r="L35" s="398">
        <v>0</v>
      </c>
      <c r="M35" s="398">
        <v>0</v>
      </c>
      <c r="N35" s="89"/>
      <c r="O35" s="397"/>
      <c r="P35" s="398">
        <v>0</v>
      </c>
      <c r="Q35" s="398">
        <v>0</v>
      </c>
      <c r="R35" s="89"/>
      <c r="S35" s="397"/>
      <c r="T35" s="398">
        <v>0</v>
      </c>
      <c r="U35" s="398">
        <v>0</v>
      </c>
      <c r="V35" s="89"/>
      <c r="W35" s="397"/>
      <c r="X35" s="398">
        <v>0</v>
      </c>
      <c r="Y35" s="398">
        <v>0</v>
      </c>
      <c r="Z35" s="89"/>
      <c r="AA35" s="397"/>
      <c r="AB35" s="398">
        <v>0</v>
      </c>
      <c r="AC35" s="398">
        <v>0</v>
      </c>
      <c r="AD35" s="89"/>
      <c r="AE35" s="213"/>
      <c r="AF35" s="245">
        <v>500</v>
      </c>
      <c r="AG35" s="398">
        <v>500</v>
      </c>
      <c r="AH35" s="398">
        <v>93</v>
      </c>
      <c r="AI35" s="216" t="e">
        <f t="shared" si="6"/>
        <v>#DIV/0!</v>
      </c>
      <c r="AJ35" s="216"/>
      <c r="AK35" s="398">
        <v>500</v>
      </c>
      <c r="AL35" s="398">
        <v>554.6</v>
      </c>
      <c r="AM35" s="396">
        <f t="shared" si="2"/>
        <v>0</v>
      </c>
      <c r="AN35" s="397"/>
      <c r="AO35" s="163">
        <v>500</v>
      </c>
      <c r="AP35" s="399">
        <f t="shared" si="3"/>
        <v>0</v>
      </c>
      <c r="AQ35" s="396">
        <f t="shared" si="4"/>
        <v>0</v>
      </c>
      <c r="AR35" s="288" t="s">
        <v>1262</v>
      </c>
    </row>
    <row r="36" spans="1:44" s="211" customFormat="1" x14ac:dyDescent="0.25">
      <c r="A36" s="214" t="s">
        <v>578</v>
      </c>
      <c r="B36" s="214" t="str">
        <f t="shared" si="5"/>
        <v>5243</v>
      </c>
      <c r="C36" s="213" t="s">
        <v>1533</v>
      </c>
      <c r="D36" s="398">
        <v>5000</v>
      </c>
      <c r="E36" s="398">
        <v>9041.2999999999993</v>
      </c>
      <c r="F36" s="396"/>
      <c r="G36" s="397"/>
      <c r="H36" s="398">
        <v>10000</v>
      </c>
      <c r="I36" s="398">
        <v>7370.83</v>
      </c>
      <c r="J36" s="89">
        <v>1</v>
      </c>
      <c r="K36" s="397"/>
      <c r="L36" s="398">
        <v>15000</v>
      </c>
      <c r="M36" s="398">
        <v>10341.16</v>
      </c>
      <c r="N36" s="89">
        <v>0.5</v>
      </c>
      <c r="O36" s="397"/>
      <c r="P36" s="398">
        <v>15000</v>
      </c>
      <c r="Q36" s="398">
        <v>9095.31</v>
      </c>
      <c r="R36" s="89">
        <v>0</v>
      </c>
      <c r="S36" s="397"/>
      <c r="T36" s="398">
        <v>15000</v>
      </c>
      <c r="U36" s="398">
        <v>8868.7199999999993</v>
      </c>
      <c r="V36" s="89">
        <v>0</v>
      </c>
      <c r="W36" s="397"/>
      <c r="X36" s="398">
        <v>15000</v>
      </c>
      <c r="Y36" s="398">
        <v>9779.98</v>
      </c>
      <c r="Z36" s="89">
        <v>0</v>
      </c>
      <c r="AA36" s="397"/>
      <c r="AB36" s="398">
        <v>15000</v>
      </c>
      <c r="AC36" s="398">
        <v>11257.66</v>
      </c>
      <c r="AD36" s="89">
        <v>0</v>
      </c>
      <c r="AE36" s="213"/>
      <c r="AF36" s="245">
        <v>18000</v>
      </c>
      <c r="AG36" s="398">
        <v>18000</v>
      </c>
      <c r="AH36" s="398">
        <v>9387.2900000000009</v>
      </c>
      <c r="AI36" s="216">
        <f t="shared" si="6"/>
        <v>0.2</v>
      </c>
      <c r="AJ36" s="216"/>
      <c r="AK36" s="398">
        <v>12000</v>
      </c>
      <c r="AL36" s="398">
        <v>3405.79</v>
      </c>
      <c r="AM36" s="396">
        <f t="shared" si="2"/>
        <v>-0.33333333333333331</v>
      </c>
      <c r="AN36" s="397"/>
      <c r="AO36" s="163">
        <v>12000</v>
      </c>
      <c r="AP36" s="399">
        <f t="shared" si="3"/>
        <v>0</v>
      </c>
      <c r="AQ36" s="396">
        <f t="shared" si="4"/>
        <v>0</v>
      </c>
      <c r="AR36" s="288" t="s">
        <v>945</v>
      </c>
    </row>
    <row r="37" spans="1:44" s="211" customFormat="1" x14ac:dyDescent="0.25">
      <c r="A37" s="214" t="s">
        <v>579</v>
      </c>
      <c r="B37" s="214" t="str">
        <f t="shared" si="5"/>
        <v>5244</v>
      </c>
      <c r="C37" s="213" t="s">
        <v>1534</v>
      </c>
      <c r="D37" s="398">
        <v>1000</v>
      </c>
      <c r="E37" s="398">
        <v>123.99</v>
      </c>
      <c r="F37" s="396"/>
      <c r="G37" s="397"/>
      <c r="H37" s="398">
        <v>1000</v>
      </c>
      <c r="I37" s="398">
        <v>0</v>
      </c>
      <c r="J37" s="89">
        <v>0</v>
      </c>
      <c r="K37" s="397"/>
      <c r="L37" s="398">
        <v>1500</v>
      </c>
      <c r="M37" s="398">
        <v>1053.9000000000001</v>
      </c>
      <c r="N37" s="89">
        <v>0.5</v>
      </c>
      <c r="O37" s="397"/>
      <c r="P37" s="398">
        <v>1000</v>
      </c>
      <c r="Q37" s="398">
        <v>0</v>
      </c>
      <c r="R37" s="89">
        <v>-0.33333333333333331</v>
      </c>
      <c r="S37" s="397"/>
      <c r="T37" s="398">
        <v>1000</v>
      </c>
      <c r="U37" s="398">
        <v>0</v>
      </c>
      <c r="V37" s="89">
        <v>0</v>
      </c>
      <c r="W37" s="397"/>
      <c r="X37" s="398">
        <v>4000</v>
      </c>
      <c r="Y37" s="398">
        <v>1862.81</v>
      </c>
      <c r="Z37" s="89">
        <v>3</v>
      </c>
      <c r="AA37" s="397"/>
      <c r="AB37" s="398">
        <v>4000</v>
      </c>
      <c r="AC37" s="398">
        <v>1135.99</v>
      </c>
      <c r="AD37" s="89">
        <v>0</v>
      </c>
      <c r="AE37" s="213"/>
      <c r="AF37" s="245">
        <v>2000</v>
      </c>
      <c r="AG37" s="245">
        <v>2000</v>
      </c>
      <c r="AH37" s="245">
        <v>509.6</v>
      </c>
      <c r="AI37" s="216">
        <f t="shared" si="6"/>
        <v>-0.5</v>
      </c>
      <c r="AJ37" s="216"/>
      <c r="AK37" s="398">
        <v>2000</v>
      </c>
      <c r="AL37" s="398">
        <v>0</v>
      </c>
      <c r="AM37" s="396">
        <f t="shared" si="2"/>
        <v>0</v>
      </c>
      <c r="AN37" s="397"/>
      <c r="AO37" s="163">
        <v>1000</v>
      </c>
      <c r="AP37" s="399">
        <f t="shared" si="3"/>
        <v>-1000</v>
      </c>
      <c r="AQ37" s="396">
        <f t="shared" si="4"/>
        <v>-0.5</v>
      </c>
      <c r="AR37" s="288" t="s">
        <v>1154</v>
      </c>
    </row>
    <row r="38" spans="1:44" s="211" customFormat="1" x14ac:dyDescent="0.25">
      <c r="A38" s="214" t="s">
        <v>580</v>
      </c>
      <c r="B38" s="214" t="str">
        <f t="shared" si="5"/>
        <v>5247</v>
      </c>
      <c r="C38" s="213" t="s">
        <v>1535</v>
      </c>
      <c r="D38" s="398">
        <v>1000</v>
      </c>
      <c r="E38" s="398">
        <v>1654.44</v>
      </c>
      <c r="F38" s="396"/>
      <c r="G38" s="397"/>
      <c r="H38" s="398">
        <v>1000</v>
      </c>
      <c r="I38" s="398">
        <v>3071.37</v>
      </c>
      <c r="J38" s="89">
        <v>0</v>
      </c>
      <c r="K38" s="397"/>
      <c r="L38" s="398">
        <v>1000</v>
      </c>
      <c r="M38" s="398">
        <v>10376.44</v>
      </c>
      <c r="N38" s="89">
        <v>0</v>
      </c>
      <c r="O38" s="397"/>
      <c r="P38" s="398">
        <v>1000</v>
      </c>
      <c r="Q38" s="398">
        <v>4014</v>
      </c>
      <c r="R38" s="89">
        <v>0</v>
      </c>
      <c r="S38" s="397"/>
      <c r="T38" s="398">
        <v>1000</v>
      </c>
      <c r="U38" s="398">
        <v>580.25</v>
      </c>
      <c r="V38" s="89">
        <v>0</v>
      </c>
      <c r="W38" s="397"/>
      <c r="X38" s="398">
        <v>6535</v>
      </c>
      <c r="Y38" s="398">
        <v>12973.14</v>
      </c>
      <c r="Z38" s="89">
        <v>5.5350000000000001</v>
      </c>
      <c r="AA38" s="397"/>
      <c r="AB38" s="398">
        <v>6535</v>
      </c>
      <c r="AC38" s="398">
        <v>5913.1</v>
      </c>
      <c r="AD38" s="89">
        <v>0</v>
      </c>
      <c r="AE38" s="213"/>
      <c r="AF38" s="245">
        <v>8000</v>
      </c>
      <c r="AG38" s="245">
        <v>8000</v>
      </c>
      <c r="AH38" s="245">
        <v>5413.25</v>
      </c>
      <c r="AI38" s="216">
        <f t="shared" si="6"/>
        <v>0.22417750573833206</v>
      </c>
      <c r="AJ38" s="216"/>
      <c r="AK38" s="398">
        <v>8000</v>
      </c>
      <c r="AL38" s="398">
        <v>5923.23</v>
      </c>
      <c r="AM38" s="396">
        <f t="shared" si="2"/>
        <v>0</v>
      </c>
      <c r="AN38" s="397"/>
      <c r="AO38" s="163">
        <v>6000</v>
      </c>
      <c r="AP38" s="399">
        <f t="shared" si="3"/>
        <v>-2000</v>
      </c>
      <c r="AQ38" s="396">
        <f t="shared" si="4"/>
        <v>-0.25</v>
      </c>
      <c r="AR38" s="288" t="s">
        <v>910</v>
      </c>
    </row>
    <row r="39" spans="1:44" s="211" customFormat="1" x14ac:dyDescent="0.25">
      <c r="A39" s="214" t="s">
        <v>915</v>
      </c>
      <c r="B39" s="214" t="str">
        <f t="shared" si="5"/>
        <v>5248</v>
      </c>
      <c r="C39" s="213" t="s">
        <v>1536</v>
      </c>
      <c r="D39" s="398">
        <v>0</v>
      </c>
      <c r="E39" s="398">
        <v>0</v>
      </c>
      <c r="F39" s="396"/>
      <c r="G39" s="397"/>
      <c r="H39" s="398">
        <v>0</v>
      </c>
      <c r="I39" s="398">
        <v>0</v>
      </c>
      <c r="J39" s="89"/>
      <c r="K39" s="397"/>
      <c r="L39" s="398">
        <v>0</v>
      </c>
      <c r="M39" s="398">
        <v>0</v>
      </c>
      <c r="N39" s="89"/>
      <c r="O39" s="397"/>
      <c r="P39" s="398">
        <v>0</v>
      </c>
      <c r="Q39" s="398">
        <v>0</v>
      </c>
      <c r="R39" s="89"/>
      <c r="S39" s="397"/>
      <c r="T39" s="398">
        <v>5000</v>
      </c>
      <c r="U39" s="398">
        <v>4594</v>
      </c>
      <c r="V39" s="89"/>
      <c r="W39" s="397"/>
      <c r="X39" s="398">
        <v>5000</v>
      </c>
      <c r="Y39" s="398">
        <v>4870</v>
      </c>
      <c r="Z39" s="89">
        <v>0</v>
      </c>
      <c r="AA39" s="397"/>
      <c r="AB39" s="398">
        <v>5000</v>
      </c>
      <c r="AC39" s="398">
        <v>5917</v>
      </c>
      <c r="AD39" s="89">
        <v>0</v>
      </c>
      <c r="AE39" s="213"/>
      <c r="AF39" s="245">
        <v>5510</v>
      </c>
      <c r="AG39" s="245">
        <v>5510</v>
      </c>
      <c r="AH39" s="245">
        <v>6058</v>
      </c>
      <c r="AI39" s="216">
        <f t="shared" si="6"/>
        <v>0.10199999999999999</v>
      </c>
      <c r="AJ39" s="216"/>
      <c r="AK39" s="398">
        <v>6500</v>
      </c>
      <c r="AL39" s="398">
        <v>5803</v>
      </c>
      <c r="AM39" s="396">
        <f t="shared" si="2"/>
        <v>0.17967332123411978</v>
      </c>
      <c r="AN39" s="397"/>
      <c r="AO39" s="163">
        <v>6500</v>
      </c>
      <c r="AP39" s="399">
        <f t="shared" si="3"/>
        <v>0</v>
      </c>
      <c r="AQ39" s="396">
        <f t="shared" si="4"/>
        <v>0</v>
      </c>
      <c r="AR39" s="288" t="s">
        <v>1258</v>
      </c>
    </row>
    <row r="40" spans="1:44" s="211" customFormat="1" x14ac:dyDescent="0.25">
      <c r="A40" s="214" t="s">
        <v>581</v>
      </c>
      <c r="B40" s="214" t="str">
        <f t="shared" si="5"/>
        <v>5251</v>
      </c>
      <c r="C40" s="213" t="s">
        <v>1537</v>
      </c>
      <c r="D40" s="398">
        <v>5000</v>
      </c>
      <c r="E40" s="398">
        <v>5115.16</v>
      </c>
      <c r="F40" s="396"/>
      <c r="G40" s="397"/>
      <c r="H40" s="398">
        <v>5000</v>
      </c>
      <c r="I40" s="398">
        <v>2210</v>
      </c>
      <c r="J40" s="89">
        <v>0</v>
      </c>
      <c r="K40" s="397"/>
      <c r="L40" s="398">
        <v>5500</v>
      </c>
      <c r="M40" s="398">
        <v>646.5</v>
      </c>
      <c r="N40" s="89">
        <v>0.1</v>
      </c>
      <c r="O40" s="397"/>
      <c r="P40" s="398">
        <v>3500</v>
      </c>
      <c r="Q40" s="398">
        <v>1645.5</v>
      </c>
      <c r="R40" s="89">
        <v>-0.36363636363636365</v>
      </c>
      <c r="S40" s="397"/>
      <c r="T40" s="398">
        <v>4500</v>
      </c>
      <c r="U40" s="398">
        <v>2286</v>
      </c>
      <c r="V40" s="89">
        <v>0.2857142857142857</v>
      </c>
      <c r="W40" s="397"/>
      <c r="X40" s="398">
        <v>4500</v>
      </c>
      <c r="Y40" s="398">
        <v>4471</v>
      </c>
      <c r="Z40" s="89">
        <v>0</v>
      </c>
      <c r="AA40" s="397"/>
      <c r="AB40" s="398">
        <v>4500</v>
      </c>
      <c r="AC40" s="398">
        <v>2818</v>
      </c>
      <c r="AD40" s="89">
        <v>0</v>
      </c>
      <c r="AE40" s="213"/>
      <c r="AF40" s="245">
        <v>4500</v>
      </c>
      <c r="AG40" s="245">
        <v>4500</v>
      </c>
      <c r="AH40" s="245">
        <v>4186</v>
      </c>
      <c r="AI40" s="216">
        <f t="shared" si="6"/>
        <v>0</v>
      </c>
      <c r="AJ40" s="216"/>
      <c r="AK40" s="398">
        <v>3000</v>
      </c>
      <c r="AL40" s="398">
        <v>1003</v>
      </c>
      <c r="AM40" s="396">
        <f t="shared" si="2"/>
        <v>-0.33333333333333331</v>
      </c>
      <c r="AN40" s="397"/>
      <c r="AO40" s="163">
        <v>3000</v>
      </c>
      <c r="AP40" s="399">
        <f t="shared" si="3"/>
        <v>0</v>
      </c>
      <c r="AQ40" s="396">
        <f t="shared" si="4"/>
        <v>0</v>
      </c>
      <c r="AR40" s="288" t="s">
        <v>911</v>
      </c>
    </row>
    <row r="41" spans="1:44" s="211" customFormat="1" x14ac:dyDescent="0.25">
      <c r="A41" s="214" t="s">
        <v>582</v>
      </c>
      <c r="B41" s="214" t="str">
        <f t="shared" si="5"/>
        <v>5255</v>
      </c>
      <c r="C41" s="213" t="s">
        <v>1538</v>
      </c>
      <c r="D41" s="398">
        <v>4319.54</v>
      </c>
      <c r="E41" s="398">
        <v>4831.24</v>
      </c>
      <c r="F41" s="396"/>
      <c r="G41" s="397"/>
      <c r="H41" s="398">
        <v>4500</v>
      </c>
      <c r="I41" s="398">
        <v>4557.92</v>
      </c>
      <c r="J41" s="89">
        <v>4.1777596688536291E-2</v>
      </c>
      <c r="K41" s="397"/>
      <c r="L41" s="398">
        <v>5000</v>
      </c>
      <c r="M41" s="398">
        <v>4704.1400000000003</v>
      </c>
      <c r="N41" s="89">
        <v>0.1111111111111111</v>
      </c>
      <c r="O41" s="397"/>
      <c r="P41" s="398">
        <v>5000</v>
      </c>
      <c r="Q41" s="398">
        <v>3930.4</v>
      </c>
      <c r="R41" s="89">
        <v>0</v>
      </c>
      <c r="S41" s="397"/>
      <c r="T41" s="398">
        <v>5000</v>
      </c>
      <c r="U41" s="398">
        <v>3827</v>
      </c>
      <c r="V41" s="89">
        <v>0</v>
      </c>
      <c r="W41" s="397"/>
      <c r="X41" s="398">
        <v>5000</v>
      </c>
      <c r="Y41" s="398">
        <v>3853.9</v>
      </c>
      <c r="Z41" s="89">
        <v>0</v>
      </c>
      <c r="AA41" s="397"/>
      <c r="AB41" s="398">
        <v>5000</v>
      </c>
      <c r="AC41" s="398">
        <v>2918</v>
      </c>
      <c r="AD41" s="89">
        <v>0</v>
      </c>
      <c r="AE41" s="213"/>
      <c r="AF41" s="245">
        <v>5000</v>
      </c>
      <c r="AG41" s="245">
        <v>5000</v>
      </c>
      <c r="AH41" s="245">
        <v>3068</v>
      </c>
      <c r="AI41" s="216">
        <f t="shared" si="6"/>
        <v>0</v>
      </c>
      <c r="AJ41" s="216"/>
      <c r="AK41" s="398">
        <v>4000</v>
      </c>
      <c r="AL41" s="398">
        <v>349.2</v>
      </c>
      <c r="AM41" s="396">
        <f t="shared" si="2"/>
        <v>-0.2</v>
      </c>
      <c r="AN41" s="397"/>
      <c r="AO41" s="163">
        <v>4000</v>
      </c>
      <c r="AP41" s="399">
        <f t="shared" si="3"/>
        <v>0</v>
      </c>
      <c r="AQ41" s="396">
        <f t="shared" si="4"/>
        <v>0</v>
      </c>
      <c r="AR41" s="288" t="s">
        <v>920</v>
      </c>
    </row>
    <row r="42" spans="1:44" s="211" customFormat="1" x14ac:dyDescent="0.25">
      <c r="A42" s="214" t="s">
        <v>583</v>
      </c>
      <c r="B42" s="214" t="str">
        <f t="shared" si="5"/>
        <v>5293</v>
      </c>
      <c r="C42" s="213" t="s">
        <v>1539</v>
      </c>
      <c r="D42" s="398">
        <v>100</v>
      </c>
      <c r="E42" s="398">
        <v>0</v>
      </c>
      <c r="F42" s="396"/>
      <c r="G42" s="397"/>
      <c r="H42" s="398">
        <v>100</v>
      </c>
      <c r="I42" s="398">
        <v>26.85</v>
      </c>
      <c r="J42" s="89">
        <v>0</v>
      </c>
      <c r="K42" s="397"/>
      <c r="L42" s="398">
        <v>100</v>
      </c>
      <c r="M42" s="398">
        <v>0</v>
      </c>
      <c r="N42" s="89">
        <v>0</v>
      </c>
      <c r="O42" s="397"/>
      <c r="P42" s="398">
        <v>100</v>
      </c>
      <c r="Q42" s="398">
        <v>0</v>
      </c>
      <c r="R42" s="89">
        <v>0</v>
      </c>
      <c r="S42" s="397"/>
      <c r="T42" s="398">
        <v>100</v>
      </c>
      <c r="U42" s="398">
        <v>0</v>
      </c>
      <c r="V42" s="89">
        <v>0</v>
      </c>
      <c r="W42" s="397"/>
      <c r="X42" s="398">
        <v>100</v>
      </c>
      <c r="Y42" s="398">
        <v>0</v>
      </c>
      <c r="Z42" s="89">
        <v>0</v>
      </c>
      <c r="AA42" s="397"/>
      <c r="AB42" s="398">
        <v>100</v>
      </c>
      <c r="AC42" s="398">
        <v>0</v>
      </c>
      <c r="AD42" s="89">
        <v>0</v>
      </c>
      <c r="AE42" s="213"/>
      <c r="AF42" s="245">
        <v>100</v>
      </c>
      <c r="AG42" s="245">
        <v>100</v>
      </c>
      <c r="AH42" s="245">
        <v>0</v>
      </c>
      <c r="AI42" s="216">
        <f t="shared" si="6"/>
        <v>0</v>
      </c>
      <c r="AJ42" s="216"/>
      <c r="AK42" s="398">
        <v>100</v>
      </c>
      <c r="AL42" s="398">
        <v>0</v>
      </c>
      <c r="AM42" s="396">
        <f t="shared" si="2"/>
        <v>0</v>
      </c>
      <c r="AN42" s="397"/>
      <c r="AO42" s="163">
        <v>100</v>
      </c>
      <c r="AP42" s="399">
        <f t="shared" si="3"/>
        <v>0</v>
      </c>
      <c r="AQ42" s="396">
        <f t="shared" si="4"/>
        <v>0</v>
      </c>
      <c r="AR42" s="288"/>
    </row>
    <row r="43" spans="1:44" s="211" customFormat="1" hidden="1" x14ac:dyDescent="0.25">
      <c r="A43" s="214" t="s">
        <v>1173</v>
      </c>
      <c r="B43" s="214" t="str">
        <f t="shared" si="5"/>
        <v>5301</v>
      </c>
      <c r="C43" s="213" t="s">
        <v>1540</v>
      </c>
      <c r="D43" s="398">
        <v>0</v>
      </c>
      <c r="E43" s="398">
        <v>0</v>
      </c>
      <c r="F43" s="396"/>
      <c r="G43" s="397"/>
      <c r="H43" s="398">
        <v>0</v>
      </c>
      <c r="I43" s="398">
        <v>0</v>
      </c>
      <c r="J43" s="89"/>
      <c r="K43" s="397"/>
      <c r="L43" s="398">
        <v>0</v>
      </c>
      <c r="M43" s="398">
        <v>523</v>
      </c>
      <c r="N43" s="89" t="e">
        <v>#DIV/0!</v>
      </c>
      <c r="O43" s="397"/>
      <c r="P43" s="398">
        <v>0</v>
      </c>
      <c r="Q43" s="398">
        <v>0</v>
      </c>
      <c r="R43" s="89" t="e">
        <v>#DIV/0!</v>
      </c>
      <c r="S43" s="397"/>
      <c r="T43" s="398">
        <v>0</v>
      </c>
      <c r="U43" s="398">
        <v>0</v>
      </c>
      <c r="V43" s="89" t="e">
        <v>#DIV/0!</v>
      </c>
      <c r="W43" s="397"/>
      <c r="X43" s="398">
        <v>0</v>
      </c>
      <c r="Y43" s="398">
        <v>0</v>
      </c>
      <c r="Z43" s="89" t="e">
        <v>#DIV/0!</v>
      </c>
      <c r="AA43" s="397"/>
      <c r="AB43" s="398">
        <v>500</v>
      </c>
      <c r="AC43" s="398">
        <v>0</v>
      </c>
      <c r="AD43" s="89" t="e">
        <v>#DIV/0!</v>
      </c>
      <c r="AE43" s="213"/>
      <c r="AF43" s="245"/>
      <c r="AG43" s="245"/>
      <c r="AH43" s="245">
        <v>0</v>
      </c>
      <c r="AI43" s="216">
        <f t="shared" si="6"/>
        <v>-1</v>
      </c>
      <c r="AJ43" s="216"/>
      <c r="AK43" s="398"/>
      <c r="AL43" s="398"/>
      <c r="AM43" s="396" t="e">
        <f t="shared" si="2"/>
        <v>#DIV/0!</v>
      </c>
      <c r="AN43" s="397"/>
      <c r="AO43" s="163"/>
      <c r="AP43" s="399">
        <f t="shared" si="3"/>
        <v>0</v>
      </c>
      <c r="AQ43" s="396" t="e">
        <f t="shared" si="4"/>
        <v>#DIV/0!</v>
      </c>
      <c r="AR43" s="288" t="s">
        <v>1259</v>
      </c>
    </row>
    <row r="44" spans="1:44" s="211" customFormat="1" x14ac:dyDescent="0.25">
      <c r="A44" s="214" t="s">
        <v>584</v>
      </c>
      <c r="B44" s="214" t="str">
        <f t="shared" si="5"/>
        <v>5303</v>
      </c>
      <c r="C44" s="213" t="s">
        <v>1541</v>
      </c>
      <c r="D44" s="398">
        <v>14000</v>
      </c>
      <c r="E44" s="398">
        <v>15054.9</v>
      </c>
      <c r="F44" s="396"/>
      <c r="G44" s="397"/>
      <c r="H44" s="398">
        <v>14000</v>
      </c>
      <c r="I44" s="398">
        <v>16657.060000000001</v>
      </c>
      <c r="J44" s="89">
        <v>0</v>
      </c>
      <c r="K44" s="397"/>
      <c r="L44" s="398">
        <v>24000</v>
      </c>
      <c r="M44" s="398">
        <v>26605</v>
      </c>
      <c r="N44" s="89">
        <v>0.7142857142857143</v>
      </c>
      <c r="O44" s="397"/>
      <c r="P44" s="398">
        <v>4000</v>
      </c>
      <c r="Q44" s="398">
        <v>6300</v>
      </c>
      <c r="R44" s="89">
        <v>-0.83333333333333337</v>
      </c>
      <c r="S44" s="397"/>
      <c r="T44" s="398">
        <v>8000</v>
      </c>
      <c r="U44" s="398">
        <v>10565</v>
      </c>
      <c r="V44" s="89">
        <v>1</v>
      </c>
      <c r="W44" s="397"/>
      <c r="X44" s="398">
        <v>30000</v>
      </c>
      <c r="Y44" s="398">
        <v>28224.87</v>
      </c>
      <c r="Z44" s="89">
        <v>2.75</v>
      </c>
      <c r="AA44" s="397"/>
      <c r="AB44" s="398">
        <v>15000</v>
      </c>
      <c r="AC44" s="398">
        <v>5849.66</v>
      </c>
      <c r="AD44" s="89">
        <v>-0.5</v>
      </c>
      <c r="AE44" s="213"/>
      <c r="AF44" s="245">
        <v>12000</v>
      </c>
      <c r="AG44" s="245">
        <v>12000</v>
      </c>
      <c r="AH44" s="245">
        <v>6436.95</v>
      </c>
      <c r="AI44" s="216">
        <f t="shared" si="6"/>
        <v>-0.2</v>
      </c>
      <c r="AJ44" s="216"/>
      <c r="AK44" s="398">
        <v>10000</v>
      </c>
      <c r="AL44" s="398">
        <v>3445</v>
      </c>
      <c r="AM44" s="396">
        <f t="shared" si="2"/>
        <v>-0.16666666666666666</v>
      </c>
      <c r="AN44" s="397"/>
      <c r="AO44" s="163">
        <v>5000</v>
      </c>
      <c r="AP44" s="399">
        <f t="shared" si="3"/>
        <v>-5000</v>
      </c>
      <c r="AQ44" s="396">
        <f t="shared" si="4"/>
        <v>-0.5</v>
      </c>
      <c r="AR44" s="288"/>
    </row>
    <row r="45" spans="1:44" s="211" customFormat="1" x14ac:dyDescent="0.25">
      <c r="A45" s="214" t="s">
        <v>893</v>
      </c>
      <c r="B45" s="214" t="str">
        <f t="shared" si="5"/>
        <v>5305</v>
      </c>
      <c r="C45" s="213" t="s">
        <v>1542</v>
      </c>
      <c r="D45" s="398">
        <v>0</v>
      </c>
      <c r="E45" s="398">
        <v>0</v>
      </c>
      <c r="F45" s="396"/>
      <c r="G45" s="397"/>
      <c r="H45" s="398">
        <v>0</v>
      </c>
      <c r="I45" s="398">
        <v>6014</v>
      </c>
      <c r="J45" s="89"/>
      <c r="K45" s="397"/>
      <c r="L45" s="398">
        <v>0</v>
      </c>
      <c r="M45" s="398">
        <v>161.25</v>
      </c>
      <c r="N45" s="89" t="e">
        <v>#DIV/0!</v>
      </c>
      <c r="O45" s="397"/>
      <c r="P45" s="398">
        <v>0</v>
      </c>
      <c r="Q45" s="398">
        <v>430</v>
      </c>
      <c r="R45" s="89" t="e">
        <v>#DIV/0!</v>
      </c>
      <c r="S45" s="397"/>
      <c r="T45" s="398">
        <v>500</v>
      </c>
      <c r="U45" s="398">
        <v>5040</v>
      </c>
      <c r="V45" s="89" t="e">
        <v>#DIV/0!</v>
      </c>
      <c r="W45" s="397"/>
      <c r="X45" s="398">
        <v>500</v>
      </c>
      <c r="Y45" s="398">
        <v>4732.5</v>
      </c>
      <c r="Z45" s="89">
        <v>0</v>
      </c>
      <c r="AA45" s="397"/>
      <c r="AB45" s="398">
        <v>500</v>
      </c>
      <c r="AC45" s="398">
        <v>269.5</v>
      </c>
      <c r="AD45" s="89">
        <v>0</v>
      </c>
      <c r="AE45" s="213"/>
      <c r="AF45" s="245">
        <v>500</v>
      </c>
      <c r="AG45" s="245">
        <v>500</v>
      </c>
      <c r="AH45" s="245">
        <v>336</v>
      </c>
      <c r="AI45" s="216">
        <f t="shared" si="6"/>
        <v>0</v>
      </c>
      <c r="AJ45" s="216"/>
      <c r="AK45" s="398">
        <v>250</v>
      </c>
      <c r="AL45" s="398">
        <v>0</v>
      </c>
      <c r="AM45" s="396">
        <f t="shared" si="2"/>
        <v>-0.5</v>
      </c>
      <c r="AN45" s="397"/>
      <c r="AO45" s="163">
        <v>250</v>
      </c>
      <c r="AP45" s="399">
        <f t="shared" si="3"/>
        <v>0</v>
      </c>
      <c r="AQ45" s="396">
        <f t="shared" si="4"/>
        <v>0</v>
      </c>
      <c r="AR45" s="288"/>
    </row>
    <row r="46" spans="1:44" s="211" customFormat="1" x14ac:dyDescent="0.25">
      <c r="A46" s="214" t="s">
        <v>585</v>
      </c>
      <c r="B46" s="214" t="s">
        <v>298</v>
      </c>
      <c r="C46" s="213" t="s">
        <v>1543</v>
      </c>
      <c r="D46" s="398">
        <v>0</v>
      </c>
      <c r="E46" s="398">
        <v>0</v>
      </c>
      <c r="F46" s="396"/>
      <c r="G46" s="397"/>
      <c r="H46" s="398">
        <v>0</v>
      </c>
      <c r="I46" s="398">
        <v>401.85</v>
      </c>
      <c r="J46" s="89" t="e">
        <v>#DIV/0!</v>
      </c>
      <c r="K46" s="397"/>
      <c r="L46" s="398">
        <v>300</v>
      </c>
      <c r="M46" s="398">
        <v>249.25</v>
      </c>
      <c r="N46" s="89" t="e">
        <v>#DIV/0!</v>
      </c>
      <c r="O46" s="397"/>
      <c r="P46" s="398">
        <v>300</v>
      </c>
      <c r="Q46" s="398">
        <v>95.42</v>
      </c>
      <c r="R46" s="89">
        <v>0</v>
      </c>
      <c r="S46" s="397"/>
      <c r="T46" s="398">
        <v>300</v>
      </c>
      <c r="U46" s="398">
        <v>216.9</v>
      </c>
      <c r="V46" s="89">
        <v>0</v>
      </c>
      <c r="W46" s="397"/>
      <c r="X46" s="398">
        <v>150</v>
      </c>
      <c r="Y46" s="398">
        <v>451.55</v>
      </c>
      <c r="Z46" s="89">
        <v>-0.5</v>
      </c>
      <c r="AA46" s="397"/>
      <c r="AB46" s="398">
        <v>150</v>
      </c>
      <c r="AC46" s="398">
        <v>40</v>
      </c>
      <c r="AD46" s="89">
        <v>0</v>
      </c>
      <c r="AE46" s="213"/>
      <c r="AF46" s="245">
        <v>150</v>
      </c>
      <c r="AG46" s="245">
        <v>150</v>
      </c>
      <c r="AH46" s="245">
        <v>61.95</v>
      </c>
      <c r="AI46" s="216">
        <f t="shared" si="6"/>
        <v>0</v>
      </c>
      <c r="AJ46" s="216"/>
      <c r="AK46" s="398">
        <v>100</v>
      </c>
      <c r="AL46" s="398">
        <v>0</v>
      </c>
      <c r="AM46" s="396">
        <f t="shared" si="2"/>
        <v>-0.33333333333333331</v>
      </c>
      <c r="AN46" s="397"/>
      <c r="AO46" s="163">
        <v>100</v>
      </c>
      <c r="AP46" s="399">
        <f t="shared" si="3"/>
        <v>0</v>
      </c>
      <c r="AQ46" s="396">
        <f t="shared" si="4"/>
        <v>0</v>
      </c>
      <c r="AR46" s="288" t="s">
        <v>586</v>
      </c>
    </row>
    <row r="47" spans="1:44" s="211" customFormat="1" x14ac:dyDescent="0.25">
      <c r="A47" s="214" t="s">
        <v>587</v>
      </c>
      <c r="B47" s="214" t="str">
        <f>MID(A47,14,4)</f>
        <v>5341</v>
      </c>
      <c r="C47" s="213" t="s">
        <v>1544</v>
      </c>
      <c r="D47" s="398">
        <v>4400</v>
      </c>
      <c r="E47" s="398">
        <v>2493.21</v>
      </c>
      <c r="F47" s="396"/>
      <c r="G47" s="397"/>
      <c r="H47" s="398">
        <v>4400</v>
      </c>
      <c r="I47" s="398">
        <v>3270.13</v>
      </c>
      <c r="J47" s="89">
        <v>0</v>
      </c>
      <c r="K47" s="397"/>
      <c r="L47" s="398">
        <v>4400</v>
      </c>
      <c r="M47" s="398">
        <v>6695.96</v>
      </c>
      <c r="N47" s="89">
        <v>0</v>
      </c>
      <c r="O47" s="397"/>
      <c r="P47" s="398">
        <v>4500</v>
      </c>
      <c r="Q47" s="398">
        <v>4223.55</v>
      </c>
      <c r="R47" s="89">
        <v>2.2727272727272728E-2</v>
      </c>
      <c r="S47" s="397"/>
      <c r="T47" s="398">
        <v>4500</v>
      </c>
      <c r="U47" s="398">
        <v>5436.79</v>
      </c>
      <c r="V47" s="89">
        <v>0</v>
      </c>
      <c r="W47" s="397"/>
      <c r="X47" s="398">
        <v>5939.52</v>
      </c>
      <c r="Y47" s="398">
        <v>6509.42</v>
      </c>
      <c r="Z47" s="89">
        <v>0.31989333333333342</v>
      </c>
      <c r="AA47" s="397"/>
      <c r="AB47" s="398">
        <v>5939.52</v>
      </c>
      <c r="AC47" s="398">
        <v>8359.32</v>
      </c>
      <c r="AD47" s="89">
        <v>0</v>
      </c>
      <c r="AE47" s="213"/>
      <c r="AF47" s="245">
        <v>5939.52</v>
      </c>
      <c r="AG47" s="245">
        <v>5939.52</v>
      </c>
      <c r="AH47" s="245">
        <v>7669.68</v>
      </c>
      <c r="AI47" s="216">
        <f t="shared" si="6"/>
        <v>0</v>
      </c>
      <c r="AJ47" s="216"/>
      <c r="AK47" s="398">
        <v>8500</v>
      </c>
      <c r="AL47" s="398">
        <v>3523.45</v>
      </c>
      <c r="AM47" s="396">
        <f t="shared" si="2"/>
        <v>0.43109207478045353</v>
      </c>
      <c r="AN47" s="397"/>
      <c r="AO47" s="163">
        <v>8500</v>
      </c>
      <c r="AP47" s="399">
        <f t="shared" si="3"/>
        <v>0</v>
      </c>
      <c r="AQ47" s="396">
        <f t="shared" si="4"/>
        <v>0</v>
      </c>
      <c r="AR47" s="288" t="s">
        <v>913</v>
      </c>
    </row>
    <row r="48" spans="1:44" s="211" customFormat="1" x14ac:dyDescent="0.25">
      <c r="A48" s="214" t="s">
        <v>588</v>
      </c>
      <c r="B48" s="214" t="str">
        <f>MID(A48,14,4)</f>
        <v>5344</v>
      </c>
      <c r="C48" s="213" t="s">
        <v>1545</v>
      </c>
      <c r="D48" s="398">
        <v>750</v>
      </c>
      <c r="E48" s="398">
        <v>419.39</v>
      </c>
      <c r="F48" s="396"/>
      <c r="G48" s="397"/>
      <c r="H48" s="398">
        <v>750</v>
      </c>
      <c r="I48" s="398">
        <v>388.76</v>
      </c>
      <c r="J48" s="89">
        <v>0</v>
      </c>
      <c r="K48" s="397"/>
      <c r="L48" s="398">
        <v>350</v>
      </c>
      <c r="M48" s="398">
        <v>387.1</v>
      </c>
      <c r="N48" s="89">
        <v>-0.53333333333333333</v>
      </c>
      <c r="O48" s="397"/>
      <c r="P48" s="398">
        <v>400</v>
      </c>
      <c r="Q48" s="398">
        <v>482.92</v>
      </c>
      <c r="R48" s="89">
        <v>0.14285714285714285</v>
      </c>
      <c r="S48" s="397"/>
      <c r="T48" s="398">
        <v>400</v>
      </c>
      <c r="U48" s="398">
        <v>545.33000000000004</v>
      </c>
      <c r="V48" s="89">
        <v>0</v>
      </c>
      <c r="W48" s="397"/>
      <c r="X48" s="398">
        <v>400</v>
      </c>
      <c r="Y48" s="398">
        <v>590.74</v>
      </c>
      <c r="Z48" s="89">
        <v>0</v>
      </c>
      <c r="AA48" s="397"/>
      <c r="AB48" s="398">
        <v>400</v>
      </c>
      <c r="AC48" s="398">
        <v>525.57000000000005</v>
      </c>
      <c r="AD48" s="89">
        <v>0</v>
      </c>
      <c r="AE48" s="213"/>
      <c r="AF48" s="245">
        <v>400</v>
      </c>
      <c r="AG48" s="245">
        <v>400</v>
      </c>
      <c r="AH48" s="245">
        <v>550.51</v>
      </c>
      <c r="AI48" s="216">
        <f t="shared" si="6"/>
        <v>0</v>
      </c>
      <c r="AJ48" s="216"/>
      <c r="AK48" s="398">
        <v>525</v>
      </c>
      <c r="AL48" s="398">
        <v>262.29000000000002</v>
      </c>
      <c r="AM48" s="396">
        <f t="shared" si="2"/>
        <v>0.3125</v>
      </c>
      <c r="AN48" s="397"/>
      <c r="AO48" s="163">
        <v>700</v>
      </c>
      <c r="AP48" s="399">
        <f t="shared" si="3"/>
        <v>175</v>
      </c>
      <c r="AQ48" s="396">
        <f t="shared" si="4"/>
        <v>0.33333333333333331</v>
      </c>
      <c r="AR48" s="288" t="s">
        <v>914</v>
      </c>
    </row>
    <row r="49" spans="1:44" s="211" customFormat="1" x14ac:dyDescent="0.25">
      <c r="A49" s="214" t="s">
        <v>589</v>
      </c>
      <c r="B49" s="214" t="str">
        <f>MID(A49,14,4)</f>
        <v>5345</v>
      </c>
      <c r="C49" s="213" t="s">
        <v>1546</v>
      </c>
      <c r="D49" s="398">
        <v>100</v>
      </c>
      <c r="E49" s="398">
        <v>0</v>
      </c>
      <c r="F49" s="396"/>
      <c r="G49" s="397"/>
      <c r="H49" s="398">
        <v>100</v>
      </c>
      <c r="I49" s="398">
        <v>142.78</v>
      </c>
      <c r="J49" s="89">
        <v>0</v>
      </c>
      <c r="K49" s="397"/>
      <c r="L49" s="398">
        <v>100</v>
      </c>
      <c r="M49" s="398">
        <v>21.98</v>
      </c>
      <c r="N49" s="89">
        <v>0</v>
      </c>
      <c r="O49" s="397"/>
      <c r="P49" s="398">
        <v>250</v>
      </c>
      <c r="Q49" s="398">
        <v>60</v>
      </c>
      <c r="R49" s="89">
        <v>1.5</v>
      </c>
      <c r="S49" s="397"/>
      <c r="T49" s="398">
        <v>250</v>
      </c>
      <c r="U49" s="398">
        <v>774.1</v>
      </c>
      <c r="V49" s="89">
        <v>0</v>
      </c>
      <c r="W49" s="397"/>
      <c r="X49" s="398">
        <v>400</v>
      </c>
      <c r="Y49" s="398">
        <v>211.67</v>
      </c>
      <c r="Z49" s="89">
        <v>0.6</v>
      </c>
      <c r="AA49" s="397"/>
      <c r="AB49" s="398">
        <v>400</v>
      </c>
      <c r="AC49" s="398">
        <v>294</v>
      </c>
      <c r="AD49" s="89">
        <v>0</v>
      </c>
      <c r="AE49" s="213"/>
      <c r="AF49" s="245">
        <v>400</v>
      </c>
      <c r="AG49" s="245">
        <v>400</v>
      </c>
      <c r="AH49" s="245">
        <v>113.44</v>
      </c>
      <c r="AI49" s="216">
        <f t="shared" si="6"/>
        <v>0</v>
      </c>
      <c r="AJ49" s="216"/>
      <c r="AK49" s="398">
        <v>300</v>
      </c>
      <c r="AL49" s="398">
        <v>63.38</v>
      </c>
      <c r="AM49" s="396">
        <f t="shared" si="2"/>
        <v>-0.25</v>
      </c>
      <c r="AN49" s="397"/>
      <c r="AO49" s="163">
        <v>300</v>
      </c>
      <c r="AP49" s="399">
        <f t="shared" si="3"/>
        <v>0</v>
      </c>
      <c r="AQ49" s="396">
        <f t="shared" si="4"/>
        <v>0</v>
      </c>
      <c r="AR49" s="288"/>
    </row>
    <row r="50" spans="1:44" s="211" customFormat="1" x14ac:dyDescent="0.25">
      <c r="A50" s="214" t="s">
        <v>590</v>
      </c>
      <c r="B50" s="214" t="str">
        <f>MID(A50,14,4)</f>
        <v>5399</v>
      </c>
      <c r="C50" s="213" t="s">
        <v>1547</v>
      </c>
      <c r="D50" s="398">
        <v>5000</v>
      </c>
      <c r="E50" s="398">
        <v>4353.82</v>
      </c>
      <c r="F50" s="396"/>
      <c r="G50" s="397"/>
      <c r="H50" s="398">
        <v>5000</v>
      </c>
      <c r="I50" s="398">
        <v>4600.6499999999996</v>
      </c>
      <c r="J50" s="89">
        <v>0</v>
      </c>
      <c r="K50" s="397"/>
      <c r="L50" s="398">
        <v>1000</v>
      </c>
      <c r="M50" s="398">
        <v>1535.97</v>
      </c>
      <c r="N50" s="89">
        <v>-0.8</v>
      </c>
      <c r="O50" s="397"/>
      <c r="P50" s="398">
        <v>20700</v>
      </c>
      <c r="Q50" s="398">
        <v>10185.35</v>
      </c>
      <c r="R50" s="89">
        <v>19.7</v>
      </c>
      <c r="S50" s="397"/>
      <c r="T50" s="398">
        <v>10000</v>
      </c>
      <c r="U50" s="398">
        <v>1661.21</v>
      </c>
      <c r="V50" s="89">
        <v>-0.51690821256038644</v>
      </c>
      <c r="W50" s="397"/>
      <c r="X50" s="398">
        <v>5000</v>
      </c>
      <c r="Y50" s="398">
        <v>4898.41</v>
      </c>
      <c r="Z50" s="89">
        <v>-0.5</v>
      </c>
      <c r="AA50" s="397"/>
      <c r="AB50" s="398">
        <v>5000</v>
      </c>
      <c r="AC50" s="398">
        <v>5059.22</v>
      </c>
      <c r="AD50" s="89">
        <v>0</v>
      </c>
      <c r="AE50" s="213"/>
      <c r="AF50" s="245">
        <v>2500</v>
      </c>
      <c r="AG50" s="245">
        <v>2500</v>
      </c>
      <c r="AH50" s="245">
        <v>632.92999999999995</v>
      </c>
      <c r="AI50" s="216">
        <f t="shared" si="6"/>
        <v>-0.5</v>
      </c>
      <c r="AJ50" s="216"/>
      <c r="AK50" s="398">
        <v>3000</v>
      </c>
      <c r="AL50" s="398">
        <v>73.72</v>
      </c>
      <c r="AM50" s="396">
        <f t="shared" si="2"/>
        <v>0.2</v>
      </c>
      <c r="AN50" s="397"/>
      <c r="AO50" s="163">
        <v>1500</v>
      </c>
      <c r="AP50" s="399">
        <f t="shared" si="3"/>
        <v>-1500</v>
      </c>
      <c r="AQ50" s="396">
        <f t="shared" si="4"/>
        <v>-0.5</v>
      </c>
      <c r="AR50" s="288" t="s">
        <v>926</v>
      </c>
    </row>
    <row r="51" spans="1:44" s="211" customFormat="1" x14ac:dyDescent="0.25">
      <c r="A51" s="214" t="s">
        <v>591</v>
      </c>
      <c r="B51" s="214" t="str">
        <f t="shared" ref="B51:B72" si="7">MID(A51,14,4)</f>
        <v>5415</v>
      </c>
      <c r="C51" s="213" t="s">
        <v>1548</v>
      </c>
      <c r="D51" s="398">
        <v>0</v>
      </c>
      <c r="E51" s="398">
        <v>0</v>
      </c>
      <c r="F51" s="396"/>
      <c r="G51" s="397"/>
      <c r="H51" s="398">
        <v>0</v>
      </c>
      <c r="I51" s="398">
        <v>0</v>
      </c>
      <c r="J51" s="89"/>
      <c r="K51" s="397"/>
      <c r="L51" s="398">
        <v>5000</v>
      </c>
      <c r="M51" s="398">
        <v>0</v>
      </c>
      <c r="N51" s="89"/>
      <c r="O51" s="397"/>
      <c r="P51" s="398">
        <v>5000</v>
      </c>
      <c r="Q51" s="398">
        <v>2100</v>
      </c>
      <c r="R51" s="89">
        <v>0</v>
      </c>
      <c r="S51" s="397"/>
      <c r="T51" s="398">
        <v>2000</v>
      </c>
      <c r="U51" s="398">
        <v>2100</v>
      </c>
      <c r="V51" s="89">
        <v>-0.6</v>
      </c>
      <c r="W51" s="397"/>
      <c r="X51" s="398">
        <v>2000</v>
      </c>
      <c r="Y51" s="398">
        <v>2100</v>
      </c>
      <c r="Z51" s="89">
        <v>0</v>
      </c>
      <c r="AA51" s="397"/>
      <c r="AB51" s="398">
        <v>2000</v>
      </c>
      <c r="AC51" s="398">
        <v>2100</v>
      </c>
      <c r="AD51" s="89">
        <v>0</v>
      </c>
      <c r="AE51" s="213"/>
      <c r="AF51" s="245">
        <v>2000</v>
      </c>
      <c r="AG51" s="245">
        <v>2000</v>
      </c>
      <c r="AH51" s="245">
        <v>2100</v>
      </c>
      <c r="AI51" s="216">
        <f t="shared" si="1"/>
        <v>0</v>
      </c>
      <c r="AJ51" s="216"/>
      <c r="AK51" s="398">
        <v>2100</v>
      </c>
      <c r="AL51" s="398">
        <v>900</v>
      </c>
      <c r="AM51" s="396">
        <f t="shared" si="2"/>
        <v>0.05</v>
      </c>
      <c r="AN51" s="397"/>
      <c r="AO51" s="163">
        <v>2100</v>
      </c>
      <c r="AP51" s="399">
        <f t="shared" si="3"/>
        <v>0</v>
      </c>
      <c r="AQ51" s="396">
        <f t="shared" si="4"/>
        <v>0</v>
      </c>
      <c r="AR51" s="288" t="s">
        <v>916</v>
      </c>
    </row>
    <row r="52" spans="1:44" s="211" customFormat="1" x14ac:dyDescent="0.25">
      <c r="A52" s="214" t="s">
        <v>592</v>
      </c>
      <c r="B52" s="214" t="str">
        <f t="shared" si="7"/>
        <v>5420</v>
      </c>
      <c r="C52" s="213" t="s">
        <v>1549</v>
      </c>
      <c r="D52" s="398">
        <v>928.46</v>
      </c>
      <c r="E52" s="398">
        <v>985.47</v>
      </c>
      <c r="F52" s="396"/>
      <c r="G52" s="397"/>
      <c r="H52" s="398">
        <v>1500</v>
      </c>
      <c r="I52" s="398">
        <v>1378.96</v>
      </c>
      <c r="J52" s="89">
        <v>0.61557848480279165</v>
      </c>
      <c r="K52" s="397"/>
      <c r="L52" s="398">
        <v>1000</v>
      </c>
      <c r="M52" s="398">
        <v>964.91</v>
      </c>
      <c r="N52" s="89">
        <v>-0.33333333333333331</v>
      </c>
      <c r="O52" s="397"/>
      <c r="P52" s="398">
        <v>1000</v>
      </c>
      <c r="Q52" s="398">
        <v>561.66</v>
      </c>
      <c r="R52" s="89">
        <v>0</v>
      </c>
      <c r="S52" s="397"/>
      <c r="T52" s="398">
        <v>1000</v>
      </c>
      <c r="U52" s="398">
        <v>498.82</v>
      </c>
      <c r="V52" s="89">
        <v>0</v>
      </c>
      <c r="W52" s="397"/>
      <c r="X52" s="398">
        <v>500</v>
      </c>
      <c r="Y52" s="398">
        <v>1087.21</v>
      </c>
      <c r="Z52" s="89">
        <v>-0.5</v>
      </c>
      <c r="AA52" s="397"/>
      <c r="AB52" s="398">
        <v>500</v>
      </c>
      <c r="AC52" s="398">
        <v>609.54999999999995</v>
      </c>
      <c r="AD52" s="89">
        <v>0</v>
      </c>
      <c r="AE52" s="213"/>
      <c r="AF52" s="245">
        <v>1000</v>
      </c>
      <c r="AG52" s="245">
        <v>1000</v>
      </c>
      <c r="AH52" s="245">
        <v>1115.78</v>
      </c>
      <c r="AI52" s="216">
        <f t="shared" si="1"/>
        <v>1</v>
      </c>
      <c r="AJ52" s="216"/>
      <c r="AK52" s="398">
        <v>1000</v>
      </c>
      <c r="AL52" s="398">
        <v>309.51</v>
      </c>
      <c r="AM52" s="396">
        <f t="shared" si="2"/>
        <v>0</v>
      </c>
      <c r="AN52" s="397"/>
      <c r="AO52" s="163">
        <v>1200</v>
      </c>
      <c r="AP52" s="399">
        <f t="shared" si="3"/>
        <v>200</v>
      </c>
      <c r="AQ52" s="396">
        <f t="shared" si="4"/>
        <v>0.2</v>
      </c>
      <c r="AR52" s="288"/>
    </row>
    <row r="53" spans="1:44" s="211" customFormat="1" x14ac:dyDescent="0.25">
      <c r="A53" s="214" t="s">
        <v>593</v>
      </c>
      <c r="B53" s="214" t="str">
        <f t="shared" si="7"/>
        <v>5481</v>
      </c>
      <c r="C53" s="213" t="s">
        <v>1550</v>
      </c>
      <c r="D53" s="398">
        <v>5000</v>
      </c>
      <c r="E53" s="398">
        <v>8663.9500000000007</v>
      </c>
      <c r="F53" s="396"/>
      <c r="G53" s="397"/>
      <c r="H53" s="398">
        <v>6000</v>
      </c>
      <c r="I53" s="398">
        <v>11003.85</v>
      </c>
      <c r="J53" s="89">
        <v>0.2</v>
      </c>
      <c r="K53" s="397"/>
      <c r="L53" s="398">
        <v>9500</v>
      </c>
      <c r="M53" s="398">
        <v>14121.66</v>
      </c>
      <c r="N53" s="89">
        <v>0.58333333333333337</v>
      </c>
      <c r="O53" s="397"/>
      <c r="P53" s="398">
        <v>12000</v>
      </c>
      <c r="Q53" s="398">
        <v>13710.25</v>
      </c>
      <c r="R53" s="89">
        <v>0.26315789473684209</v>
      </c>
      <c r="S53" s="397"/>
      <c r="T53" s="398">
        <v>14000</v>
      </c>
      <c r="U53" s="398">
        <v>9064.9</v>
      </c>
      <c r="V53" s="89">
        <v>0.16666666666666666</v>
      </c>
      <c r="W53" s="397"/>
      <c r="X53" s="398">
        <v>18000</v>
      </c>
      <c r="Y53" s="398">
        <v>7551.05</v>
      </c>
      <c r="Z53" s="89">
        <v>0.2857142857142857</v>
      </c>
      <c r="AA53" s="397"/>
      <c r="AB53" s="398">
        <v>15000</v>
      </c>
      <c r="AC53" s="398">
        <v>7623.1</v>
      </c>
      <c r="AD53" s="89">
        <v>-0.16666666666666666</v>
      </c>
      <c r="AE53" s="213"/>
      <c r="AF53" s="245">
        <v>15000</v>
      </c>
      <c r="AG53" s="245">
        <v>15000</v>
      </c>
      <c r="AH53" s="245">
        <v>8085.44</v>
      </c>
      <c r="AI53" s="216">
        <f t="shared" si="1"/>
        <v>0</v>
      </c>
      <c r="AJ53" s="216"/>
      <c r="AK53" s="398">
        <v>10000</v>
      </c>
      <c r="AL53" s="398">
        <v>4041.66</v>
      </c>
      <c r="AM53" s="396">
        <f t="shared" si="2"/>
        <v>-0.33333333333333331</v>
      </c>
      <c r="AN53" s="397"/>
      <c r="AO53" s="163">
        <v>10000</v>
      </c>
      <c r="AP53" s="399">
        <f t="shared" si="3"/>
        <v>0</v>
      </c>
      <c r="AQ53" s="396">
        <f t="shared" si="4"/>
        <v>0</v>
      </c>
      <c r="AR53" s="288"/>
    </row>
    <row r="54" spans="1:44" s="211" customFormat="1" x14ac:dyDescent="0.25">
      <c r="A54" s="214" t="s">
        <v>594</v>
      </c>
      <c r="B54" s="214" t="str">
        <f t="shared" si="7"/>
        <v>5482</v>
      </c>
      <c r="C54" s="213" t="s">
        <v>1551</v>
      </c>
      <c r="D54" s="398">
        <v>1000</v>
      </c>
      <c r="E54" s="398">
        <v>342.28</v>
      </c>
      <c r="F54" s="396"/>
      <c r="G54" s="397"/>
      <c r="H54" s="398">
        <v>1000</v>
      </c>
      <c r="I54" s="398">
        <v>139.66999999999999</v>
      </c>
      <c r="J54" s="89">
        <v>0</v>
      </c>
      <c r="K54" s="397"/>
      <c r="L54" s="398">
        <v>1000</v>
      </c>
      <c r="M54" s="398">
        <v>906.56</v>
      </c>
      <c r="N54" s="89">
        <v>0</v>
      </c>
      <c r="O54" s="397"/>
      <c r="P54" s="398">
        <v>800</v>
      </c>
      <c r="Q54" s="398">
        <v>1119.42</v>
      </c>
      <c r="R54" s="89">
        <v>-0.2</v>
      </c>
      <c r="S54" s="397"/>
      <c r="T54" s="398">
        <v>800</v>
      </c>
      <c r="U54" s="398">
        <v>0</v>
      </c>
      <c r="V54" s="89">
        <v>0</v>
      </c>
      <c r="W54" s="397"/>
      <c r="X54" s="398">
        <v>800</v>
      </c>
      <c r="Y54" s="398">
        <v>548.86</v>
      </c>
      <c r="Z54" s="89">
        <v>0</v>
      </c>
      <c r="AA54" s="397"/>
      <c r="AB54" s="398">
        <v>800</v>
      </c>
      <c r="AC54" s="398">
        <v>0</v>
      </c>
      <c r="AD54" s="89">
        <v>0</v>
      </c>
      <c r="AE54" s="213"/>
      <c r="AF54" s="245">
        <v>800</v>
      </c>
      <c r="AG54" s="245">
        <v>800</v>
      </c>
      <c r="AH54" s="245">
        <v>0</v>
      </c>
      <c r="AI54" s="216">
        <f t="shared" si="1"/>
        <v>0</v>
      </c>
      <c r="AJ54" s="216"/>
      <c r="AK54" s="398">
        <v>400</v>
      </c>
      <c r="AL54" s="398">
        <v>23.98</v>
      </c>
      <c r="AM54" s="396">
        <f t="shared" si="2"/>
        <v>-0.5</v>
      </c>
      <c r="AN54" s="397"/>
      <c r="AO54" s="163">
        <v>400</v>
      </c>
      <c r="AP54" s="399">
        <f t="shared" si="3"/>
        <v>0</v>
      </c>
      <c r="AQ54" s="396">
        <f t="shared" si="4"/>
        <v>0</v>
      </c>
      <c r="AR54" s="288"/>
    </row>
    <row r="55" spans="1:44" s="211" customFormat="1" x14ac:dyDescent="0.25">
      <c r="A55" s="214" t="s">
        <v>1252</v>
      </c>
      <c r="B55" s="214" t="str">
        <f>MID(A55,14,4)</f>
        <v>5490</v>
      </c>
      <c r="C55" s="213" t="s">
        <v>1552</v>
      </c>
      <c r="D55" s="398">
        <v>0</v>
      </c>
      <c r="E55" s="398">
        <v>0</v>
      </c>
      <c r="F55" s="396"/>
      <c r="G55" s="397"/>
      <c r="H55" s="398">
        <v>0</v>
      </c>
      <c r="I55" s="398">
        <v>0</v>
      </c>
      <c r="J55" s="89"/>
      <c r="K55" s="397"/>
      <c r="L55" s="398">
        <v>0</v>
      </c>
      <c r="M55" s="398">
        <v>0</v>
      </c>
      <c r="N55" s="89" t="e">
        <v>#DIV/0!</v>
      </c>
      <c r="O55" s="397"/>
      <c r="P55" s="398">
        <v>0</v>
      </c>
      <c r="Q55" s="398">
        <v>0</v>
      </c>
      <c r="R55" s="89" t="e">
        <v>#DIV/0!</v>
      </c>
      <c r="S55" s="397"/>
      <c r="T55" s="398">
        <v>0</v>
      </c>
      <c r="U55" s="398">
        <v>0</v>
      </c>
      <c r="V55" s="89" t="e">
        <v>#DIV/0!</v>
      </c>
      <c r="W55" s="397"/>
      <c r="X55" s="398">
        <v>0</v>
      </c>
      <c r="Y55" s="398">
        <v>0</v>
      </c>
      <c r="Z55" s="89" t="e">
        <v>#DIV/0!</v>
      </c>
      <c r="AA55" s="397"/>
      <c r="AB55" s="398">
        <v>0</v>
      </c>
      <c r="AC55" s="398">
        <v>310.38</v>
      </c>
      <c r="AD55" s="89" t="e">
        <v>#DIV/0!</v>
      </c>
      <c r="AE55" s="213"/>
      <c r="AF55" s="245">
        <v>500</v>
      </c>
      <c r="AG55" s="245">
        <v>500</v>
      </c>
      <c r="AH55" s="245">
        <v>614.16</v>
      </c>
      <c r="AI55" s="216" t="e">
        <f t="shared" si="1"/>
        <v>#DIV/0!</v>
      </c>
      <c r="AJ55" s="216"/>
      <c r="AK55" s="398">
        <v>250</v>
      </c>
      <c r="AL55" s="398">
        <v>403.19</v>
      </c>
      <c r="AM55" s="396">
        <f t="shared" si="2"/>
        <v>-0.5</v>
      </c>
      <c r="AN55" s="397"/>
      <c r="AO55" s="163">
        <v>250</v>
      </c>
      <c r="AP55" s="399">
        <f t="shared" si="3"/>
        <v>0</v>
      </c>
      <c r="AQ55" s="396">
        <f t="shared" si="4"/>
        <v>0</v>
      </c>
      <c r="AR55" s="288"/>
    </row>
    <row r="56" spans="1:44" s="211" customFormat="1" x14ac:dyDescent="0.25">
      <c r="A56" s="214" t="s">
        <v>595</v>
      </c>
      <c r="B56" s="214" t="str">
        <f t="shared" si="7"/>
        <v>5500</v>
      </c>
      <c r="C56" s="213" t="s">
        <v>1553</v>
      </c>
      <c r="D56" s="398">
        <v>7500</v>
      </c>
      <c r="E56" s="398">
        <v>10678.45</v>
      </c>
      <c r="F56" s="396"/>
      <c r="G56" s="397"/>
      <c r="H56" s="398">
        <v>8000</v>
      </c>
      <c r="I56" s="398">
        <v>4957.1099999999997</v>
      </c>
      <c r="J56" s="89">
        <v>6.6666666666666666E-2</v>
      </c>
      <c r="K56" s="397"/>
      <c r="L56" s="398">
        <v>10000</v>
      </c>
      <c r="M56" s="398">
        <v>9459.2900000000009</v>
      </c>
      <c r="N56" s="89">
        <v>0.25</v>
      </c>
      <c r="O56" s="397"/>
      <c r="P56" s="398">
        <v>9000</v>
      </c>
      <c r="Q56" s="398">
        <v>4274.0200000000004</v>
      </c>
      <c r="R56" s="89">
        <v>-0.1</v>
      </c>
      <c r="S56" s="397"/>
      <c r="T56" s="398">
        <v>11000</v>
      </c>
      <c r="U56" s="398">
        <v>5562</v>
      </c>
      <c r="V56" s="89">
        <v>0.22222222222222221</v>
      </c>
      <c r="W56" s="397"/>
      <c r="X56" s="398">
        <v>11000</v>
      </c>
      <c r="Y56" s="398">
        <v>11389.97</v>
      </c>
      <c r="Z56" s="89">
        <v>0</v>
      </c>
      <c r="AA56" s="397"/>
      <c r="AB56" s="398">
        <v>13000</v>
      </c>
      <c r="AC56" s="398">
        <v>8551.17</v>
      </c>
      <c r="AD56" s="89">
        <v>0.18181818181818182</v>
      </c>
      <c r="AE56" s="213"/>
      <c r="AF56" s="245">
        <v>13000</v>
      </c>
      <c r="AG56" s="245">
        <v>13000</v>
      </c>
      <c r="AH56" s="245">
        <v>11275.48</v>
      </c>
      <c r="AI56" s="216">
        <f t="shared" si="1"/>
        <v>0</v>
      </c>
      <c r="AJ56" s="216"/>
      <c r="AK56" s="398">
        <v>10000</v>
      </c>
      <c r="AL56" s="398">
        <v>3131.15</v>
      </c>
      <c r="AM56" s="396">
        <f t="shared" si="2"/>
        <v>-0.23076923076923078</v>
      </c>
      <c r="AN56" s="397"/>
      <c r="AO56" s="163">
        <v>10000</v>
      </c>
      <c r="AP56" s="399">
        <f t="shared" si="3"/>
        <v>0</v>
      </c>
      <c r="AQ56" s="396">
        <f t="shared" si="4"/>
        <v>0</v>
      </c>
      <c r="AR56" s="288"/>
    </row>
    <row r="57" spans="1:44" s="211" customFormat="1" x14ac:dyDescent="0.25">
      <c r="A57" s="214" t="s">
        <v>596</v>
      </c>
      <c r="B57" s="214" t="str">
        <f t="shared" si="7"/>
        <v>5585</v>
      </c>
      <c r="C57" s="213" t="s">
        <v>1554</v>
      </c>
      <c r="D57" s="398">
        <v>2011.73</v>
      </c>
      <c r="E57" s="398">
        <v>5829.85</v>
      </c>
      <c r="F57" s="396"/>
      <c r="G57" s="397"/>
      <c r="H57" s="398">
        <v>5000</v>
      </c>
      <c r="I57" s="398">
        <v>4346.25</v>
      </c>
      <c r="J57" s="89">
        <v>1.4854229941393726</v>
      </c>
      <c r="K57" s="397"/>
      <c r="L57" s="398">
        <v>4000</v>
      </c>
      <c r="M57" s="398">
        <v>11546.1</v>
      </c>
      <c r="N57" s="89">
        <v>-0.2</v>
      </c>
      <c r="O57" s="397"/>
      <c r="P57" s="398">
        <v>2500</v>
      </c>
      <c r="Q57" s="398">
        <v>478</v>
      </c>
      <c r="R57" s="89">
        <v>-0.375</v>
      </c>
      <c r="S57" s="397"/>
      <c r="T57" s="398">
        <v>2500</v>
      </c>
      <c r="U57" s="398">
        <v>4009.31</v>
      </c>
      <c r="V57" s="89">
        <v>0</v>
      </c>
      <c r="W57" s="397"/>
      <c r="X57" s="398">
        <v>5000</v>
      </c>
      <c r="Y57" s="398">
        <v>5097.37</v>
      </c>
      <c r="Z57" s="89">
        <v>1</v>
      </c>
      <c r="AA57" s="397"/>
      <c r="AB57" s="398">
        <v>5000</v>
      </c>
      <c r="AC57" s="398">
        <v>4955.25</v>
      </c>
      <c r="AD57" s="89">
        <v>0</v>
      </c>
      <c r="AE57" s="213"/>
      <c r="AF57" s="245">
        <v>5000</v>
      </c>
      <c r="AG57" s="245">
        <v>5000</v>
      </c>
      <c r="AH57" s="245">
        <v>5992.45</v>
      </c>
      <c r="AI57" s="216">
        <f t="shared" si="1"/>
        <v>0</v>
      </c>
      <c r="AJ57" s="216"/>
      <c r="AK57" s="398">
        <v>5000</v>
      </c>
      <c r="AL57" s="398">
        <v>1071.6600000000001</v>
      </c>
      <c r="AM57" s="396">
        <f t="shared" si="2"/>
        <v>0</v>
      </c>
      <c r="AN57" s="397"/>
      <c r="AO57" s="163">
        <v>6000</v>
      </c>
      <c r="AP57" s="399">
        <f t="shared" si="3"/>
        <v>1000</v>
      </c>
      <c r="AQ57" s="396">
        <f t="shared" si="4"/>
        <v>0.2</v>
      </c>
      <c r="AR57" s="288"/>
    </row>
    <row r="58" spans="1:44" s="211" customFormat="1" x14ac:dyDescent="0.25">
      <c r="A58" s="214" t="s">
        <v>597</v>
      </c>
      <c r="B58" s="214" t="str">
        <f t="shared" si="7"/>
        <v>5589</v>
      </c>
      <c r="C58" s="213" t="s">
        <v>1555</v>
      </c>
      <c r="D58" s="398">
        <v>600</v>
      </c>
      <c r="E58" s="398">
        <v>183.37</v>
      </c>
      <c r="F58" s="396"/>
      <c r="G58" s="397"/>
      <c r="H58" s="398">
        <v>600</v>
      </c>
      <c r="I58" s="398">
        <v>357.04</v>
      </c>
      <c r="J58" s="89">
        <v>0</v>
      </c>
      <c r="K58" s="397"/>
      <c r="L58" s="398">
        <v>500</v>
      </c>
      <c r="M58" s="398">
        <v>1758.83</v>
      </c>
      <c r="N58" s="89">
        <v>-0.16666666666666666</v>
      </c>
      <c r="O58" s="397"/>
      <c r="P58" s="398">
        <v>500</v>
      </c>
      <c r="Q58" s="398">
        <v>915.4</v>
      </c>
      <c r="R58" s="89">
        <v>0</v>
      </c>
      <c r="S58" s="397"/>
      <c r="T58" s="398">
        <v>500</v>
      </c>
      <c r="U58" s="398">
        <v>2632.53</v>
      </c>
      <c r="V58" s="89">
        <v>0</v>
      </c>
      <c r="W58" s="397"/>
      <c r="X58" s="398">
        <v>500</v>
      </c>
      <c r="Y58" s="398">
        <v>539.05999999999995</v>
      </c>
      <c r="Z58" s="89">
        <v>0</v>
      </c>
      <c r="AA58" s="397"/>
      <c r="AB58" s="398">
        <v>500</v>
      </c>
      <c r="AC58" s="398">
        <v>438.91</v>
      </c>
      <c r="AD58" s="89">
        <v>0</v>
      </c>
      <c r="AE58" s="213"/>
      <c r="AF58" s="245">
        <v>500</v>
      </c>
      <c r="AG58" s="245">
        <v>500</v>
      </c>
      <c r="AH58" s="245">
        <v>37.659999999999997</v>
      </c>
      <c r="AI58" s="216">
        <f t="shared" si="1"/>
        <v>0</v>
      </c>
      <c r="AJ58" s="216"/>
      <c r="AK58" s="398">
        <v>250</v>
      </c>
      <c r="AL58" s="398">
        <v>0</v>
      </c>
      <c r="AM58" s="396">
        <f t="shared" si="2"/>
        <v>-0.5</v>
      </c>
      <c r="AN58" s="397"/>
      <c r="AO58" s="163">
        <v>250</v>
      </c>
      <c r="AP58" s="399">
        <f t="shared" si="3"/>
        <v>0</v>
      </c>
      <c r="AQ58" s="396">
        <f t="shared" si="4"/>
        <v>0</v>
      </c>
      <c r="AR58" s="288"/>
    </row>
    <row r="59" spans="1:44" s="211" customFormat="1" hidden="1" x14ac:dyDescent="0.25">
      <c r="A59" s="214" t="s">
        <v>598</v>
      </c>
      <c r="B59" s="214" t="str">
        <f t="shared" si="7"/>
        <v>5595</v>
      </c>
      <c r="C59" s="213" t="s">
        <v>1556</v>
      </c>
      <c r="D59" s="398">
        <v>0</v>
      </c>
      <c r="E59" s="398">
        <v>0</v>
      </c>
      <c r="F59" s="396"/>
      <c r="G59" s="397"/>
      <c r="H59" s="398">
        <v>0</v>
      </c>
      <c r="I59" s="398">
        <v>0</v>
      </c>
      <c r="J59" s="89"/>
      <c r="K59" s="397"/>
      <c r="L59" s="398">
        <v>0</v>
      </c>
      <c r="M59" s="398">
        <v>0</v>
      </c>
      <c r="N59" s="89" t="e">
        <v>#DIV/0!</v>
      </c>
      <c r="O59" s="397"/>
      <c r="P59" s="398">
        <v>0</v>
      </c>
      <c r="Q59" s="398">
        <v>-31.8</v>
      </c>
      <c r="R59" s="89" t="e">
        <v>#DIV/0!</v>
      </c>
      <c r="S59" s="397"/>
      <c r="T59" s="398">
        <v>100</v>
      </c>
      <c r="U59" s="398">
        <v>0</v>
      </c>
      <c r="V59" s="89" t="e">
        <v>#DIV/0!</v>
      </c>
      <c r="W59" s="397"/>
      <c r="X59" s="398">
        <v>100</v>
      </c>
      <c r="Y59" s="398">
        <v>0</v>
      </c>
      <c r="Z59" s="89">
        <v>0</v>
      </c>
      <c r="AA59" s="397"/>
      <c r="AB59" s="398">
        <v>100</v>
      </c>
      <c r="AC59" s="398">
        <v>0</v>
      </c>
      <c r="AD59" s="89">
        <v>0</v>
      </c>
      <c r="AE59" s="213"/>
      <c r="AF59" s="245">
        <v>0</v>
      </c>
      <c r="AG59" s="245">
        <v>0</v>
      </c>
      <c r="AH59" s="245">
        <v>0</v>
      </c>
      <c r="AI59" s="216">
        <f t="shared" si="1"/>
        <v>-1</v>
      </c>
      <c r="AJ59" s="216"/>
      <c r="AK59" s="398"/>
      <c r="AL59" s="398"/>
      <c r="AM59" s="396" t="e">
        <f t="shared" si="2"/>
        <v>#DIV/0!</v>
      </c>
      <c r="AN59" s="397"/>
      <c r="AO59" s="163"/>
      <c r="AP59" s="399">
        <f t="shared" si="3"/>
        <v>0</v>
      </c>
      <c r="AQ59" s="396" t="e">
        <f t="shared" si="4"/>
        <v>#DIV/0!</v>
      </c>
      <c r="AR59" s="288" t="s">
        <v>1260</v>
      </c>
    </row>
    <row r="60" spans="1:44" s="211" customFormat="1" x14ac:dyDescent="0.25">
      <c r="A60" s="214" t="s">
        <v>599</v>
      </c>
      <c r="B60" s="214" t="str">
        <f t="shared" si="7"/>
        <v>5710</v>
      </c>
      <c r="C60" s="213" t="s">
        <v>1557</v>
      </c>
      <c r="D60" s="398">
        <v>500</v>
      </c>
      <c r="E60" s="398">
        <v>518.75</v>
      </c>
      <c r="F60" s="396"/>
      <c r="G60" s="397"/>
      <c r="H60" s="398">
        <v>1500</v>
      </c>
      <c r="I60" s="398">
        <v>659.21</v>
      </c>
      <c r="J60" s="89">
        <v>2</v>
      </c>
      <c r="K60" s="397"/>
      <c r="L60" s="398">
        <v>1000</v>
      </c>
      <c r="M60" s="398">
        <v>1013.25</v>
      </c>
      <c r="N60" s="89">
        <v>-0.33333333333333331</v>
      </c>
      <c r="O60" s="397"/>
      <c r="P60" s="398">
        <v>1000</v>
      </c>
      <c r="Q60" s="398">
        <v>356.25</v>
      </c>
      <c r="R60" s="89">
        <v>0</v>
      </c>
      <c r="S60" s="397"/>
      <c r="T60" s="398">
        <v>1000</v>
      </c>
      <c r="U60" s="398">
        <v>1189.4100000000001</v>
      </c>
      <c r="V60" s="89">
        <v>0</v>
      </c>
      <c r="W60" s="397"/>
      <c r="X60" s="398">
        <v>1000</v>
      </c>
      <c r="Y60" s="398">
        <v>301.5</v>
      </c>
      <c r="Z60" s="89">
        <v>0</v>
      </c>
      <c r="AA60" s="397"/>
      <c r="AB60" s="398">
        <v>1000</v>
      </c>
      <c r="AC60" s="398">
        <v>303</v>
      </c>
      <c r="AD60" s="89">
        <v>0</v>
      </c>
      <c r="AE60" s="213"/>
      <c r="AF60" s="245">
        <v>1000</v>
      </c>
      <c r="AG60" s="245">
        <v>1000</v>
      </c>
      <c r="AH60" s="245">
        <v>1071.3599999999999</v>
      </c>
      <c r="AI60" s="216">
        <f t="shared" si="1"/>
        <v>0</v>
      </c>
      <c r="AJ60" s="216"/>
      <c r="AK60" s="398">
        <v>500</v>
      </c>
      <c r="AL60" s="398">
        <v>87.25</v>
      </c>
      <c r="AM60" s="396">
        <f t="shared" si="2"/>
        <v>-0.5</v>
      </c>
      <c r="AN60" s="397"/>
      <c r="AO60" s="163">
        <v>500</v>
      </c>
      <c r="AP60" s="399">
        <f t="shared" si="3"/>
        <v>0</v>
      </c>
      <c r="AQ60" s="396">
        <f t="shared" si="4"/>
        <v>0</v>
      </c>
      <c r="AR60" s="288" t="s">
        <v>924</v>
      </c>
    </row>
    <row r="61" spans="1:44" s="211" customFormat="1" x14ac:dyDescent="0.25">
      <c r="A61" s="214" t="s">
        <v>600</v>
      </c>
      <c r="B61" s="214" t="str">
        <f t="shared" si="7"/>
        <v>5711</v>
      </c>
      <c r="C61" s="213" t="s">
        <v>1558</v>
      </c>
      <c r="D61" s="398">
        <v>2000</v>
      </c>
      <c r="E61" s="398">
        <v>104.53</v>
      </c>
      <c r="F61" s="396"/>
      <c r="G61" s="397"/>
      <c r="H61" s="398">
        <v>2000</v>
      </c>
      <c r="I61" s="398">
        <v>558.62</v>
      </c>
      <c r="J61" s="89">
        <v>0</v>
      </c>
      <c r="K61" s="397"/>
      <c r="L61" s="398">
        <v>1000</v>
      </c>
      <c r="M61" s="398">
        <v>174.36</v>
      </c>
      <c r="N61" s="89">
        <v>-0.5</v>
      </c>
      <c r="O61" s="397"/>
      <c r="P61" s="398">
        <v>1000</v>
      </c>
      <c r="Q61" s="398">
        <v>230.44</v>
      </c>
      <c r="R61" s="89">
        <v>0</v>
      </c>
      <c r="S61" s="397"/>
      <c r="T61" s="398">
        <v>1000</v>
      </c>
      <c r="U61" s="398">
        <v>10.130000000000001</v>
      </c>
      <c r="V61" s="89">
        <v>0</v>
      </c>
      <c r="W61" s="397"/>
      <c r="X61" s="398">
        <v>1000</v>
      </c>
      <c r="Y61" s="398">
        <v>0</v>
      </c>
      <c r="Z61" s="89">
        <v>0</v>
      </c>
      <c r="AA61" s="397"/>
      <c r="AB61" s="398">
        <v>1000</v>
      </c>
      <c r="AC61" s="398">
        <v>535.21</v>
      </c>
      <c r="AD61" s="89">
        <v>0</v>
      </c>
      <c r="AE61" s="213"/>
      <c r="AF61" s="245">
        <v>1000</v>
      </c>
      <c r="AG61" s="245">
        <v>1000</v>
      </c>
      <c r="AH61" s="245">
        <v>1120.2</v>
      </c>
      <c r="AI61" s="216">
        <f t="shared" si="1"/>
        <v>0</v>
      </c>
      <c r="AJ61" s="216"/>
      <c r="AK61" s="398">
        <v>500</v>
      </c>
      <c r="AL61" s="398">
        <v>379.32</v>
      </c>
      <c r="AM61" s="396">
        <f t="shared" si="2"/>
        <v>-0.5</v>
      </c>
      <c r="AN61" s="397"/>
      <c r="AO61" s="163">
        <v>750</v>
      </c>
      <c r="AP61" s="399">
        <f t="shared" si="3"/>
        <v>250</v>
      </c>
      <c r="AQ61" s="396">
        <f t="shared" si="4"/>
        <v>0.5</v>
      </c>
      <c r="AR61" s="288" t="s">
        <v>601</v>
      </c>
    </row>
    <row r="62" spans="1:44" s="211" customFormat="1" x14ac:dyDescent="0.25">
      <c r="A62" s="214" t="s">
        <v>602</v>
      </c>
      <c r="B62" s="214" t="str">
        <f t="shared" si="7"/>
        <v>5730</v>
      </c>
      <c r="C62" s="213" t="s">
        <v>1559</v>
      </c>
      <c r="D62" s="398">
        <v>500</v>
      </c>
      <c r="E62" s="398">
        <v>1368</v>
      </c>
      <c r="F62" s="396"/>
      <c r="G62" s="397"/>
      <c r="H62" s="398">
        <v>500</v>
      </c>
      <c r="I62" s="398">
        <v>300</v>
      </c>
      <c r="J62" s="89">
        <v>0</v>
      </c>
      <c r="K62" s="397"/>
      <c r="L62" s="398">
        <v>0</v>
      </c>
      <c r="M62" s="398">
        <v>1275</v>
      </c>
      <c r="N62" s="89">
        <v>-1</v>
      </c>
      <c r="O62" s="397"/>
      <c r="P62" s="398">
        <v>0</v>
      </c>
      <c r="Q62" s="398">
        <v>75</v>
      </c>
      <c r="R62" s="89" t="e">
        <v>#DIV/0!</v>
      </c>
      <c r="S62" s="397"/>
      <c r="T62" s="398">
        <v>200</v>
      </c>
      <c r="U62" s="398">
        <v>75</v>
      </c>
      <c r="V62" s="89" t="e">
        <v>#DIV/0!</v>
      </c>
      <c r="W62" s="397"/>
      <c r="X62" s="398">
        <v>200</v>
      </c>
      <c r="Y62" s="398">
        <v>75</v>
      </c>
      <c r="Z62" s="89">
        <v>0</v>
      </c>
      <c r="AA62" s="397"/>
      <c r="AB62" s="398">
        <v>200</v>
      </c>
      <c r="AC62" s="398">
        <v>0</v>
      </c>
      <c r="AD62" s="89">
        <v>0</v>
      </c>
      <c r="AE62" s="213"/>
      <c r="AF62" s="245">
        <v>200</v>
      </c>
      <c r="AG62" s="245">
        <v>200</v>
      </c>
      <c r="AH62" s="245">
        <v>0</v>
      </c>
      <c r="AI62" s="216">
        <f t="shared" si="1"/>
        <v>0</v>
      </c>
      <c r="AJ62" s="216"/>
      <c r="AK62" s="398">
        <v>200</v>
      </c>
      <c r="AL62" s="398">
        <v>0</v>
      </c>
      <c r="AM62" s="396">
        <f t="shared" si="2"/>
        <v>0</v>
      </c>
      <c r="AN62" s="397"/>
      <c r="AO62" s="163">
        <v>200</v>
      </c>
      <c r="AP62" s="399">
        <f t="shared" si="3"/>
        <v>0</v>
      </c>
      <c r="AQ62" s="396">
        <f t="shared" si="4"/>
        <v>0</v>
      </c>
      <c r="AR62" s="288" t="s">
        <v>912</v>
      </c>
    </row>
    <row r="63" spans="1:44" s="211" customFormat="1" x14ac:dyDescent="0.25">
      <c r="A63" s="214" t="s">
        <v>603</v>
      </c>
      <c r="B63" s="214" t="str">
        <f t="shared" si="7"/>
        <v>5740</v>
      </c>
      <c r="C63" s="213" t="s">
        <v>1560</v>
      </c>
      <c r="D63" s="398">
        <v>9596</v>
      </c>
      <c r="E63" s="398">
        <v>2269</v>
      </c>
      <c r="F63" s="396"/>
      <c r="G63" s="397"/>
      <c r="H63" s="398">
        <v>13500</v>
      </c>
      <c r="I63" s="398">
        <v>13454</v>
      </c>
      <c r="J63" s="89">
        <v>0.40683618174239267</v>
      </c>
      <c r="K63" s="397"/>
      <c r="L63" s="398">
        <v>14000</v>
      </c>
      <c r="M63" s="398">
        <v>13045</v>
      </c>
      <c r="N63" s="89">
        <v>3.7037037037037035E-2</v>
      </c>
      <c r="O63" s="397"/>
      <c r="P63" s="398">
        <v>14000</v>
      </c>
      <c r="Q63" s="398">
        <v>648</v>
      </c>
      <c r="R63" s="89">
        <v>0</v>
      </c>
      <c r="S63" s="397"/>
      <c r="T63" s="398">
        <v>15400</v>
      </c>
      <c r="U63" s="398">
        <v>16114</v>
      </c>
      <c r="V63" s="89">
        <v>0.1</v>
      </c>
      <c r="W63" s="397"/>
      <c r="X63" s="398">
        <v>16940</v>
      </c>
      <c r="Y63" s="398">
        <v>19825.86</v>
      </c>
      <c r="Z63" s="89">
        <v>0.1</v>
      </c>
      <c r="AA63" s="397"/>
      <c r="AB63" s="398">
        <v>21000</v>
      </c>
      <c r="AC63" s="398">
        <v>17128.3</v>
      </c>
      <c r="AD63" s="89">
        <v>0.23966942148760331</v>
      </c>
      <c r="AE63" s="213"/>
      <c r="AF63" s="245">
        <v>21000</v>
      </c>
      <c r="AG63" s="245">
        <v>21000</v>
      </c>
      <c r="AH63" s="398">
        <v>22157.23</v>
      </c>
      <c r="AI63" s="216">
        <f t="shared" si="1"/>
        <v>0</v>
      </c>
      <c r="AJ63" s="216"/>
      <c r="AK63" s="398">
        <v>21000</v>
      </c>
      <c r="AL63" s="398">
        <v>0</v>
      </c>
      <c r="AM63" s="396">
        <f t="shared" si="2"/>
        <v>0</v>
      </c>
      <c r="AN63" s="397"/>
      <c r="AO63" s="163">
        <v>21000</v>
      </c>
      <c r="AP63" s="399">
        <f t="shared" si="3"/>
        <v>0</v>
      </c>
      <c r="AQ63" s="396">
        <f t="shared" si="4"/>
        <v>0</v>
      </c>
      <c r="AR63" s="288"/>
    </row>
    <row r="64" spans="1:44" s="211" customFormat="1" x14ac:dyDescent="0.25">
      <c r="A64" s="214" t="s">
        <v>604</v>
      </c>
      <c r="B64" s="214" t="str">
        <f t="shared" si="7"/>
        <v>5742</v>
      </c>
      <c r="C64" s="213" t="s">
        <v>1561</v>
      </c>
      <c r="D64" s="398">
        <v>1000</v>
      </c>
      <c r="E64" s="398">
        <v>0</v>
      </c>
      <c r="F64" s="396"/>
      <c r="G64" s="397"/>
      <c r="H64" s="398">
        <v>1000</v>
      </c>
      <c r="I64" s="398">
        <v>0</v>
      </c>
      <c r="J64" s="89">
        <v>0</v>
      </c>
      <c r="K64" s="397"/>
      <c r="L64" s="398">
        <v>1000</v>
      </c>
      <c r="M64" s="398">
        <v>0</v>
      </c>
      <c r="N64" s="89">
        <v>0</v>
      </c>
      <c r="O64" s="397"/>
      <c r="P64" s="398">
        <v>1000</v>
      </c>
      <c r="Q64" s="398">
        <v>6803</v>
      </c>
      <c r="R64" s="89">
        <v>0</v>
      </c>
      <c r="S64" s="397"/>
      <c r="T64" s="398">
        <v>1000</v>
      </c>
      <c r="U64" s="398">
        <v>500</v>
      </c>
      <c r="V64" s="89">
        <v>0</v>
      </c>
      <c r="W64" s="397"/>
      <c r="X64" s="398">
        <v>1000</v>
      </c>
      <c r="Y64" s="398">
        <v>0</v>
      </c>
      <c r="Z64" s="89">
        <v>0</v>
      </c>
      <c r="AA64" s="397"/>
      <c r="AB64" s="398">
        <v>1000</v>
      </c>
      <c r="AC64" s="398">
        <v>1000</v>
      </c>
      <c r="AD64" s="89">
        <v>0</v>
      </c>
      <c r="AE64" s="213"/>
      <c r="AF64" s="245">
        <v>1000</v>
      </c>
      <c r="AG64" s="245">
        <v>1000</v>
      </c>
      <c r="AH64" s="245">
        <v>0</v>
      </c>
      <c r="AI64" s="216">
        <f t="shared" si="1"/>
        <v>0</v>
      </c>
      <c r="AJ64" s="216"/>
      <c r="AK64" s="398">
        <v>1000</v>
      </c>
      <c r="AL64" s="398">
        <v>0</v>
      </c>
      <c r="AM64" s="396">
        <f t="shared" si="2"/>
        <v>0</v>
      </c>
      <c r="AN64" s="397"/>
      <c r="AO64" s="163">
        <v>1000</v>
      </c>
      <c r="AP64" s="399">
        <f t="shared" si="3"/>
        <v>0</v>
      </c>
      <c r="AQ64" s="396">
        <f t="shared" si="4"/>
        <v>0</v>
      </c>
      <c r="AR64" s="288"/>
    </row>
    <row r="65" spans="1:46" s="211" customFormat="1" x14ac:dyDescent="0.25">
      <c r="A65" s="214" t="s">
        <v>575</v>
      </c>
      <c r="B65" s="214" t="str">
        <f>MID(A65,14,4)</f>
        <v>5744</v>
      </c>
      <c r="C65" s="213" t="s">
        <v>1562</v>
      </c>
      <c r="D65" s="398">
        <v>4744.5600000000004</v>
      </c>
      <c r="E65" s="398">
        <v>9114</v>
      </c>
      <c r="F65" s="396"/>
      <c r="G65" s="397"/>
      <c r="H65" s="398">
        <v>23867</v>
      </c>
      <c r="I65" s="398">
        <v>17551.34</v>
      </c>
      <c r="J65" s="89">
        <v>4.030392702379145</v>
      </c>
      <c r="K65" s="397"/>
      <c r="L65" s="398">
        <v>18029.169999999998</v>
      </c>
      <c r="M65" s="398">
        <v>16250.75</v>
      </c>
      <c r="N65" s="89">
        <v>-0.24459839946369472</v>
      </c>
      <c r="O65" s="397"/>
      <c r="P65" s="398">
        <v>19218.29</v>
      </c>
      <c r="Q65" s="398">
        <v>7402.01</v>
      </c>
      <c r="R65" s="89">
        <v>6.5955337932916636E-2</v>
      </c>
      <c r="S65" s="397"/>
      <c r="T65" s="398">
        <v>27810.97</v>
      </c>
      <c r="U65" s="398">
        <v>7831.98</v>
      </c>
      <c r="V65" s="89">
        <v>0.44710949829563401</v>
      </c>
      <c r="W65" s="397"/>
      <c r="X65" s="398">
        <v>9424.9500000000007</v>
      </c>
      <c r="Y65" s="398">
        <v>8277.4500000000007</v>
      </c>
      <c r="Z65" s="89">
        <v>-0.66110675032190536</v>
      </c>
      <c r="AA65" s="397"/>
      <c r="AB65" s="398">
        <v>10676.95</v>
      </c>
      <c r="AC65" s="398">
        <v>9182.08</v>
      </c>
      <c r="AD65" s="89">
        <v>0.13283890100212734</v>
      </c>
      <c r="AE65" s="213"/>
      <c r="AF65" s="245">
        <v>10884.96</v>
      </c>
      <c r="AG65" s="245">
        <v>10884.96</v>
      </c>
      <c r="AH65" s="245">
        <v>10910.4</v>
      </c>
      <c r="AI65" s="216">
        <f>(AG65-AB65)/AB65</f>
        <v>1.9482155484478094E-2</v>
      </c>
      <c r="AJ65" s="216"/>
      <c r="AK65" s="398">
        <v>11694.94</v>
      </c>
      <c r="AL65" s="398">
        <v>4990.1099999999997</v>
      </c>
      <c r="AM65" s="396">
        <f t="shared" si="2"/>
        <v>7.4412767708838756E-2</v>
      </c>
      <c r="AN65" s="397"/>
      <c r="AO65" s="163">
        <v>12630.54</v>
      </c>
      <c r="AP65" s="399">
        <f t="shared" si="3"/>
        <v>935.60000000000036</v>
      </c>
      <c r="AQ65" s="396">
        <f t="shared" si="4"/>
        <v>8.0000410433914176E-2</v>
      </c>
      <c r="AR65" s="288" t="s">
        <v>959</v>
      </c>
    </row>
    <row r="66" spans="1:46" s="211" customFormat="1" x14ac:dyDescent="0.25">
      <c r="A66" s="214" t="s">
        <v>958</v>
      </c>
      <c r="B66" s="214" t="str">
        <f>MID(A66,14,4)</f>
        <v>5745</v>
      </c>
      <c r="C66" s="213" t="s">
        <v>1563</v>
      </c>
      <c r="D66" s="398">
        <v>0</v>
      </c>
      <c r="E66" s="398">
        <v>0</v>
      </c>
      <c r="F66" s="396"/>
      <c r="G66" s="397"/>
      <c r="H66" s="398">
        <v>0</v>
      </c>
      <c r="I66" s="398">
        <v>0</v>
      </c>
      <c r="J66" s="89"/>
      <c r="K66" s="397"/>
      <c r="L66" s="398">
        <v>0</v>
      </c>
      <c r="M66" s="398">
        <v>0</v>
      </c>
      <c r="N66" s="89" t="e">
        <v>#DIV/0!</v>
      </c>
      <c r="O66" s="397"/>
      <c r="P66" s="398">
        <v>0</v>
      </c>
      <c r="Q66" s="398">
        <v>13904</v>
      </c>
      <c r="R66" s="89" t="e">
        <v>#DIV/0!</v>
      </c>
      <c r="S66" s="397"/>
      <c r="T66" s="398">
        <v>0</v>
      </c>
      <c r="U66" s="398">
        <v>14997</v>
      </c>
      <c r="V66" s="89" t="e">
        <v>#DIV/0!</v>
      </c>
      <c r="W66" s="397"/>
      <c r="X66" s="398">
        <v>12873.1</v>
      </c>
      <c r="Y66" s="398">
        <v>12319.38</v>
      </c>
      <c r="Z66" s="89" t="e">
        <v>#DIV/0!</v>
      </c>
      <c r="AA66" s="397"/>
      <c r="AB66" s="398">
        <v>18000</v>
      </c>
      <c r="AC66" s="398">
        <v>15805.03</v>
      </c>
      <c r="AD66" s="89">
        <v>0.39826459827081273</v>
      </c>
      <c r="AE66" s="213"/>
      <c r="AF66" s="245">
        <v>20000</v>
      </c>
      <c r="AG66" s="245">
        <v>20000</v>
      </c>
      <c r="AH66" s="398">
        <v>17875.2</v>
      </c>
      <c r="AI66" s="216">
        <f>(AG66-AB66)/AB66</f>
        <v>0.1111111111111111</v>
      </c>
      <c r="AJ66" s="216"/>
      <c r="AK66" s="398">
        <v>24600</v>
      </c>
      <c r="AL66" s="398">
        <v>0</v>
      </c>
      <c r="AM66" s="396">
        <f t="shared" si="2"/>
        <v>0.23</v>
      </c>
      <c r="AN66" s="397"/>
      <c r="AO66" s="163">
        <v>24600</v>
      </c>
      <c r="AP66" s="399">
        <f t="shared" si="3"/>
        <v>0</v>
      </c>
      <c r="AQ66" s="396">
        <f t="shared" si="4"/>
        <v>0</v>
      </c>
      <c r="AR66" s="400" t="s">
        <v>1470</v>
      </c>
    </row>
    <row r="67" spans="1:46" s="211" customFormat="1" hidden="1" x14ac:dyDescent="0.25">
      <c r="A67" s="214" t="s">
        <v>605</v>
      </c>
      <c r="B67" s="214" t="str">
        <f t="shared" si="7"/>
        <v>5850</v>
      </c>
      <c r="C67" s="213" t="s">
        <v>1564</v>
      </c>
      <c r="D67" s="398">
        <v>2000</v>
      </c>
      <c r="E67" s="398">
        <v>862.5</v>
      </c>
      <c r="F67" s="396"/>
      <c r="G67" s="397"/>
      <c r="H67" s="398">
        <v>2000</v>
      </c>
      <c r="I67" s="398">
        <v>3195.12</v>
      </c>
      <c r="J67" s="89">
        <v>0</v>
      </c>
      <c r="K67" s="397"/>
      <c r="L67" s="398">
        <v>1800</v>
      </c>
      <c r="M67" s="398">
        <v>1710.35</v>
      </c>
      <c r="N67" s="89">
        <v>-0.1</v>
      </c>
      <c r="O67" s="397"/>
      <c r="P67" s="398">
        <v>1500</v>
      </c>
      <c r="Q67" s="398">
        <v>1383.37</v>
      </c>
      <c r="R67" s="89">
        <v>-0.16666666666666666</v>
      </c>
      <c r="S67" s="397"/>
      <c r="T67" s="398">
        <v>1400</v>
      </c>
      <c r="U67" s="398">
        <v>1149.97</v>
      </c>
      <c r="V67" s="89">
        <v>-6.6666666666666666E-2</v>
      </c>
      <c r="W67" s="397"/>
      <c r="X67" s="398">
        <v>1400</v>
      </c>
      <c r="Y67" s="398">
        <v>179.97</v>
      </c>
      <c r="Z67" s="89">
        <v>0</v>
      </c>
      <c r="AA67" s="397"/>
      <c r="AB67" s="398">
        <v>1400</v>
      </c>
      <c r="AC67" s="398">
        <v>0</v>
      </c>
      <c r="AD67" s="89">
        <v>0</v>
      </c>
      <c r="AE67" s="213"/>
      <c r="AF67" s="245"/>
      <c r="AG67" s="245"/>
      <c r="AH67" s="245"/>
      <c r="AI67" s="216">
        <f t="shared" si="1"/>
        <v>-1</v>
      </c>
      <c r="AJ67" s="216"/>
      <c r="AK67" s="398"/>
      <c r="AL67" s="398"/>
      <c r="AM67" s="396" t="e">
        <f t="shared" si="2"/>
        <v>#DIV/0!</v>
      </c>
      <c r="AN67" s="397"/>
      <c r="AO67" s="163"/>
      <c r="AP67" s="399">
        <f t="shared" si="3"/>
        <v>0</v>
      </c>
      <c r="AQ67" s="396" t="e">
        <f t="shared" si="4"/>
        <v>#DIV/0!</v>
      </c>
      <c r="AR67" s="288"/>
    </row>
    <row r="68" spans="1:46" s="211" customFormat="1" x14ac:dyDescent="0.25">
      <c r="A68" s="214" t="s">
        <v>606</v>
      </c>
      <c r="B68" s="214" t="str">
        <f t="shared" si="7"/>
        <v>5870</v>
      </c>
      <c r="C68" s="213" t="s">
        <v>1565</v>
      </c>
      <c r="D68" s="398">
        <v>2000</v>
      </c>
      <c r="E68" s="398">
        <v>0</v>
      </c>
      <c r="F68" s="396"/>
      <c r="G68" s="397"/>
      <c r="H68" s="398">
        <v>2000</v>
      </c>
      <c r="I68" s="398">
        <v>892.24</v>
      </c>
      <c r="J68" s="89">
        <v>0</v>
      </c>
      <c r="K68" s="397"/>
      <c r="L68" s="398">
        <v>2000</v>
      </c>
      <c r="M68" s="398">
        <v>1852.51</v>
      </c>
      <c r="N68" s="89">
        <v>0</v>
      </c>
      <c r="O68" s="397"/>
      <c r="P68" s="398">
        <v>2000</v>
      </c>
      <c r="Q68" s="398">
        <v>1712.96</v>
      </c>
      <c r="R68" s="89">
        <v>0</v>
      </c>
      <c r="S68" s="397"/>
      <c r="T68" s="398">
        <v>2000</v>
      </c>
      <c r="U68" s="398">
        <v>2987.61</v>
      </c>
      <c r="V68" s="89">
        <v>0</v>
      </c>
      <c r="W68" s="397"/>
      <c r="X68" s="398">
        <v>2000</v>
      </c>
      <c r="Y68" s="398">
        <v>3660.51</v>
      </c>
      <c r="Z68" s="89">
        <v>0</v>
      </c>
      <c r="AA68" s="397"/>
      <c r="AB68" s="398">
        <v>2000</v>
      </c>
      <c r="AC68" s="398">
        <v>331.06</v>
      </c>
      <c r="AD68" s="89">
        <v>0</v>
      </c>
      <c r="AE68" s="213"/>
      <c r="AF68" s="245">
        <v>3000</v>
      </c>
      <c r="AG68" s="245">
        <v>3000</v>
      </c>
      <c r="AH68" s="245">
        <v>1575.39</v>
      </c>
      <c r="AI68" s="216">
        <f t="shared" si="1"/>
        <v>0.5</v>
      </c>
      <c r="AJ68" s="216"/>
      <c r="AK68" s="398">
        <v>1500</v>
      </c>
      <c r="AL68" s="398">
        <v>0</v>
      </c>
      <c r="AM68" s="396">
        <f t="shared" si="2"/>
        <v>-0.5</v>
      </c>
      <c r="AN68" s="397"/>
      <c r="AO68" s="163">
        <v>1500</v>
      </c>
      <c r="AP68" s="399">
        <f t="shared" si="3"/>
        <v>0</v>
      </c>
      <c r="AQ68" s="396">
        <f t="shared" si="4"/>
        <v>0</v>
      </c>
      <c r="AR68" s="288"/>
    </row>
    <row r="69" spans="1:46" s="211" customFormat="1" x14ac:dyDescent="0.25">
      <c r="A69" s="214" t="s">
        <v>607</v>
      </c>
      <c r="B69" s="214" t="str">
        <f t="shared" si="7"/>
        <v>5871</v>
      </c>
      <c r="C69" s="213" t="s">
        <v>1566</v>
      </c>
      <c r="D69" s="398">
        <v>2000</v>
      </c>
      <c r="E69" s="398">
        <v>0</v>
      </c>
      <c r="F69" s="396"/>
      <c r="G69" s="397"/>
      <c r="H69" s="398">
        <v>2000</v>
      </c>
      <c r="I69" s="398">
        <v>0</v>
      </c>
      <c r="J69" s="89">
        <v>0</v>
      </c>
      <c r="K69" s="397"/>
      <c r="L69" s="398">
        <v>1200</v>
      </c>
      <c r="M69" s="398">
        <v>0</v>
      </c>
      <c r="N69" s="89">
        <v>-0.4</v>
      </c>
      <c r="O69" s="397"/>
      <c r="P69" s="398">
        <v>1000</v>
      </c>
      <c r="Q69" s="398">
        <v>0</v>
      </c>
      <c r="R69" s="89">
        <v>-0.16666666666666666</v>
      </c>
      <c r="S69" s="397"/>
      <c r="T69" s="398">
        <v>1000</v>
      </c>
      <c r="U69" s="398">
        <v>0</v>
      </c>
      <c r="V69" s="89">
        <v>0</v>
      </c>
      <c r="W69" s="397"/>
      <c r="X69" s="398">
        <v>1000</v>
      </c>
      <c r="Y69" s="398">
        <v>0</v>
      </c>
      <c r="Z69" s="89">
        <v>0</v>
      </c>
      <c r="AA69" s="397"/>
      <c r="AB69" s="398">
        <v>1000</v>
      </c>
      <c r="AC69" s="398">
        <v>0</v>
      </c>
      <c r="AD69" s="89">
        <v>0</v>
      </c>
      <c r="AE69" s="213"/>
      <c r="AF69" s="245">
        <v>500</v>
      </c>
      <c r="AG69" s="245">
        <v>500</v>
      </c>
      <c r="AH69" s="245">
        <v>0</v>
      </c>
      <c r="AI69" s="216">
        <f t="shared" si="1"/>
        <v>-0.5</v>
      </c>
      <c r="AJ69" s="216"/>
      <c r="AK69" s="398">
        <v>500</v>
      </c>
      <c r="AL69" s="398">
        <v>0</v>
      </c>
      <c r="AM69" s="396">
        <f t="shared" si="2"/>
        <v>0</v>
      </c>
      <c r="AN69" s="397"/>
      <c r="AO69" s="163">
        <v>500</v>
      </c>
      <c r="AP69" s="399">
        <f t="shared" si="3"/>
        <v>0</v>
      </c>
      <c r="AQ69" s="396">
        <f t="shared" si="4"/>
        <v>0</v>
      </c>
      <c r="AR69" s="288"/>
    </row>
    <row r="70" spans="1:46" s="211" customFormat="1" x14ac:dyDescent="0.25">
      <c r="A70" s="214" t="s">
        <v>608</v>
      </c>
      <c r="B70" s="214" t="str">
        <f t="shared" si="7"/>
        <v>5872</v>
      </c>
      <c r="C70" s="213" t="s">
        <v>1567</v>
      </c>
      <c r="D70" s="398">
        <v>6500</v>
      </c>
      <c r="E70" s="398">
        <v>5163.8500000000004</v>
      </c>
      <c r="F70" s="396"/>
      <c r="G70" s="397"/>
      <c r="H70" s="398">
        <v>6500</v>
      </c>
      <c r="I70" s="398">
        <v>7533.88</v>
      </c>
      <c r="J70" s="89">
        <v>0</v>
      </c>
      <c r="K70" s="397"/>
      <c r="L70" s="398">
        <v>6500</v>
      </c>
      <c r="M70" s="398">
        <v>9162.9</v>
      </c>
      <c r="N70" s="89">
        <v>0</v>
      </c>
      <c r="O70" s="397"/>
      <c r="P70" s="398">
        <v>8000</v>
      </c>
      <c r="Q70" s="398">
        <v>4089.79</v>
      </c>
      <c r="R70" s="89">
        <v>0.23076923076923078</v>
      </c>
      <c r="S70" s="397"/>
      <c r="T70" s="398">
        <v>8000</v>
      </c>
      <c r="U70" s="398">
        <v>4698.55</v>
      </c>
      <c r="V70" s="89">
        <v>0</v>
      </c>
      <c r="W70" s="397"/>
      <c r="X70" s="398">
        <v>8000</v>
      </c>
      <c r="Y70" s="398">
        <v>4518.82</v>
      </c>
      <c r="Z70" s="89">
        <v>0</v>
      </c>
      <c r="AA70" s="397"/>
      <c r="AB70" s="398">
        <v>8000</v>
      </c>
      <c r="AC70" s="398">
        <v>2603.77</v>
      </c>
      <c r="AD70" s="89">
        <v>0</v>
      </c>
      <c r="AE70" s="213"/>
      <c r="AF70" s="245">
        <v>5000</v>
      </c>
      <c r="AG70" s="245">
        <v>5000</v>
      </c>
      <c r="AH70" s="245">
        <v>3792.6</v>
      </c>
      <c r="AI70" s="216">
        <f t="shared" si="1"/>
        <v>-0.375</v>
      </c>
      <c r="AJ70" s="216"/>
      <c r="AK70" s="398">
        <v>9500</v>
      </c>
      <c r="AL70" s="398">
        <v>3070.7</v>
      </c>
      <c r="AM70" s="396">
        <f t="shared" si="2"/>
        <v>0.9</v>
      </c>
      <c r="AN70" s="397"/>
      <c r="AO70" s="163">
        <v>9500</v>
      </c>
      <c r="AP70" s="399">
        <f t="shared" si="3"/>
        <v>0</v>
      </c>
      <c r="AQ70" s="396">
        <f t="shared" si="4"/>
        <v>0</v>
      </c>
      <c r="AR70" s="288"/>
    </row>
    <row r="71" spans="1:46" s="211" customFormat="1" x14ac:dyDescent="0.25">
      <c r="A71" s="214" t="s">
        <v>609</v>
      </c>
      <c r="B71" s="214" t="str">
        <f t="shared" si="7"/>
        <v>5873</v>
      </c>
      <c r="C71" s="213" t="s">
        <v>1568</v>
      </c>
      <c r="D71" s="398">
        <v>6678.98</v>
      </c>
      <c r="E71" s="398">
        <v>3793.48</v>
      </c>
      <c r="F71" s="396"/>
      <c r="G71" s="397"/>
      <c r="H71" s="398">
        <v>10000</v>
      </c>
      <c r="I71" s="398">
        <v>24066.19</v>
      </c>
      <c r="J71" s="89">
        <v>0.49723460767961586</v>
      </c>
      <c r="K71" s="397"/>
      <c r="L71" s="398">
        <v>10000</v>
      </c>
      <c r="M71" s="398">
        <v>8022.78</v>
      </c>
      <c r="N71" s="89">
        <v>0</v>
      </c>
      <c r="O71" s="397"/>
      <c r="P71" s="398">
        <v>7500</v>
      </c>
      <c r="Q71" s="398">
        <v>9389.91</v>
      </c>
      <c r="R71" s="89">
        <v>-0.25</v>
      </c>
      <c r="S71" s="397"/>
      <c r="T71" s="398">
        <v>13500</v>
      </c>
      <c r="U71" s="398">
        <v>12184.31</v>
      </c>
      <c r="V71" s="89">
        <v>0.8</v>
      </c>
      <c r="W71" s="397"/>
      <c r="X71" s="398">
        <v>15000</v>
      </c>
      <c r="Y71" s="398">
        <v>15421.22</v>
      </c>
      <c r="Z71" s="89">
        <v>0.1111111111111111</v>
      </c>
      <c r="AA71" s="397"/>
      <c r="AB71" s="398">
        <v>15000</v>
      </c>
      <c r="AC71" s="398">
        <v>13654.65</v>
      </c>
      <c r="AD71" s="89">
        <v>0</v>
      </c>
      <c r="AE71" s="213"/>
      <c r="AF71" s="245">
        <v>15000</v>
      </c>
      <c r="AG71" s="245">
        <v>15000</v>
      </c>
      <c r="AH71" s="245">
        <v>12544.99</v>
      </c>
      <c r="AI71" s="216">
        <f t="shared" si="1"/>
        <v>0</v>
      </c>
      <c r="AJ71" s="216"/>
      <c r="AK71" s="398">
        <v>15000</v>
      </c>
      <c r="AL71" s="398">
        <v>8172.68</v>
      </c>
      <c r="AM71" s="396">
        <f t="shared" ref="AM71:AM81" si="8">(AK71-AG71)/AG71</f>
        <v>0</v>
      </c>
      <c r="AN71" s="397"/>
      <c r="AO71" s="163">
        <v>15000</v>
      </c>
      <c r="AP71" s="399">
        <f>AO71-AK71</f>
        <v>0</v>
      </c>
      <c r="AQ71" s="396">
        <f>(AO71-AK71)/AK71</f>
        <v>0</v>
      </c>
      <c r="AR71" s="288"/>
    </row>
    <row r="72" spans="1:46" s="211" customFormat="1" x14ac:dyDescent="0.25">
      <c r="A72" s="214" t="s">
        <v>610</v>
      </c>
      <c r="B72" s="214" t="str">
        <f t="shared" si="7"/>
        <v>5875</v>
      </c>
      <c r="C72" s="213" t="s">
        <v>1569</v>
      </c>
      <c r="D72" s="398">
        <v>0</v>
      </c>
      <c r="E72" s="398">
        <v>0</v>
      </c>
      <c r="F72" s="396"/>
      <c r="G72" s="397"/>
      <c r="H72" s="398">
        <v>11000</v>
      </c>
      <c r="I72" s="398">
        <v>8273.98</v>
      </c>
      <c r="J72" s="89"/>
      <c r="K72" s="397"/>
      <c r="L72" s="398">
        <v>11500</v>
      </c>
      <c r="M72" s="398">
        <v>9102.16</v>
      </c>
      <c r="N72" s="89">
        <v>4.5454545454545456E-2</v>
      </c>
      <c r="O72" s="397"/>
      <c r="P72" s="398">
        <v>11500</v>
      </c>
      <c r="Q72" s="398">
        <v>9514.7199999999993</v>
      </c>
      <c r="R72" s="89">
        <v>0</v>
      </c>
      <c r="S72" s="397"/>
      <c r="T72" s="398">
        <v>11500</v>
      </c>
      <c r="U72" s="398">
        <v>11043.06</v>
      </c>
      <c r="V72" s="89">
        <v>0</v>
      </c>
      <c r="W72" s="397"/>
      <c r="X72" s="398">
        <v>11500</v>
      </c>
      <c r="Y72" s="398">
        <v>11088.48</v>
      </c>
      <c r="Z72" s="89">
        <v>0</v>
      </c>
      <c r="AA72" s="397"/>
      <c r="AB72" s="398">
        <v>11500</v>
      </c>
      <c r="AC72" s="398">
        <v>12998.2</v>
      </c>
      <c r="AD72" s="89">
        <v>0</v>
      </c>
      <c r="AE72" s="213"/>
      <c r="AF72" s="245">
        <v>13000</v>
      </c>
      <c r="AG72" s="245">
        <v>13000</v>
      </c>
      <c r="AH72" s="245">
        <v>12048.19</v>
      </c>
      <c r="AI72" s="216">
        <f t="shared" si="1"/>
        <v>0.13043478260869565</v>
      </c>
      <c r="AJ72" s="216"/>
      <c r="AK72" s="398">
        <v>13000</v>
      </c>
      <c r="AL72" s="398">
        <v>6822.86</v>
      </c>
      <c r="AM72" s="396">
        <f t="shared" si="8"/>
        <v>0</v>
      </c>
      <c r="AN72" s="397"/>
      <c r="AO72" s="163">
        <v>13000</v>
      </c>
      <c r="AP72" s="399">
        <f>AO72-AK72</f>
        <v>0</v>
      </c>
      <c r="AQ72" s="396">
        <f>(AO72-AK72)/AK72</f>
        <v>0</v>
      </c>
      <c r="AR72" s="288"/>
    </row>
    <row r="73" spans="1:46" s="114" customFormat="1" x14ac:dyDescent="0.25">
      <c r="A73" s="219"/>
      <c r="B73" s="219"/>
      <c r="C73" s="219" t="s">
        <v>279</v>
      </c>
      <c r="D73" s="401">
        <v>117322.26999999999</v>
      </c>
      <c r="E73" s="401">
        <v>95894.43</v>
      </c>
      <c r="F73" s="221"/>
      <c r="G73" s="219"/>
      <c r="H73" s="401">
        <v>203817</v>
      </c>
      <c r="I73" s="401">
        <v>147379.66</v>
      </c>
      <c r="J73" s="221">
        <v>0.73724050855817924</v>
      </c>
      <c r="K73" s="219"/>
      <c r="L73" s="401">
        <v>202379.16999999998</v>
      </c>
      <c r="M73" s="401">
        <v>172242.81000000003</v>
      </c>
      <c r="N73" s="221">
        <v>-7.0545145890677239E-3</v>
      </c>
      <c r="O73" s="219"/>
      <c r="P73" s="401">
        <v>202983.29</v>
      </c>
      <c r="Q73" s="401">
        <v>153789.84</v>
      </c>
      <c r="R73" s="221">
        <v>2.9850898192735177E-3</v>
      </c>
      <c r="S73" s="219"/>
      <c r="T73" s="401">
        <v>206510.97</v>
      </c>
      <c r="U73" s="401">
        <v>176486.39999999999</v>
      </c>
      <c r="V73" s="221">
        <v>1.7379164560787211E-2</v>
      </c>
      <c r="W73" s="219"/>
      <c r="X73" s="401">
        <v>278789.57</v>
      </c>
      <c r="Y73" s="401">
        <v>229765.71000000005</v>
      </c>
      <c r="Z73" s="221">
        <v>0.3499988402553143</v>
      </c>
      <c r="AA73" s="219"/>
      <c r="AB73" s="401">
        <f>SUM(AB28:AB72)</f>
        <v>267201.46999999997</v>
      </c>
      <c r="AC73" s="401">
        <f>SUM(AC28:AC72)</f>
        <v>276647.55</v>
      </c>
      <c r="AD73" s="221">
        <v>-4.1565758719022503E-2</v>
      </c>
      <c r="AE73" s="219"/>
      <c r="AF73" s="401">
        <f>SUM(AF28:AF72)</f>
        <v>284254.17</v>
      </c>
      <c r="AG73" s="401">
        <f>SUM(AG28:AG72)</f>
        <v>284254.17</v>
      </c>
      <c r="AH73" s="220">
        <f>SUM(AH28:AH72)</f>
        <v>279808.33000000007</v>
      </c>
      <c r="AI73" s="221">
        <f>(AG73-AB73)/AB73</f>
        <v>6.3819633926415195E-2</v>
      </c>
      <c r="AJ73" s="221"/>
      <c r="AK73" s="401">
        <f>SUM(AK28:AK72)</f>
        <v>469818.91</v>
      </c>
      <c r="AL73" s="401">
        <f>SUM(AL28:AL72)</f>
        <v>113210.52</v>
      </c>
      <c r="AM73" s="221">
        <f t="shared" si="8"/>
        <v>0.65281272742630303</v>
      </c>
      <c r="AN73" s="219"/>
      <c r="AO73" s="223">
        <f>SUM(AO28:AO72)</f>
        <v>471140.23924999998</v>
      </c>
      <c r="AP73" s="223">
        <f>SUM(AP28:AP72)</f>
        <v>1321.3292500000007</v>
      </c>
      <c r="AQ73" s="221">
        <f>(AO73-AK73)/AK73</f>
        <v>2.8124224501734291E-3</v>
      </c>
      <c r="AR73" s="219"/>
    </row>
    <row r="74" spans="1:46" s="211" customFormat="1" x14ac:dyDescent="0.25">
      <c r="D74" s="112"/>
      <c r="E74" s="112"/>
      <c r="F74" s="396"/>
      <c r="G74" s="397"/>
      <c r="H74" s="112"/>
      <c r="I74" s="112"/>
      <c r="J74" s="396"/>
      <c r="K74" s="397"/>
      <c r="L74" s="112"/>
      <c r="M74" s="112"/>
      <c r="N74" s="396"/>
      <c r="O74" s="397"/>
      <c r="P74" s="112"/>
      <c r="Q74" s="112"/>
      <c r="R74" s="396"/>
      <c r="S74" s="397"/>
      <c r="T74" s="112"/>
      <c r="U74" s="112"/>
      <c r="V74" s="396"/>
      <c r="W74" s="397"/>
      <c r="X74" s="112"/>
      <c r="Y74" s="112"/>
      <c r="Z74" s="396"/>
      <c r="AA74" s="397"/>
      <c r="AB74" s="112"/>
      <c r="AC74" s="112"/>
      <c r="AD74" s="396"/>
      <c r="AE74" s="213"/>
      <c r="AF74" s="112"/>
      <c r="AG74" s="112"/>
      <c r="AH74" s="112"/>
      <c r="AI74" s="216"/>
      <c r="AJ74" s="216"/>
      <c r="AK74" s="112"/>
      <c r="AL74" s="112"/>
      <c r="AM74" s="396"/>
      <c r="AN74" s="397"/>
      <c r="AO74" s="212"/>
      <c r="AP74" s="212"/>
      <c r="AQ74" s="396"/>
    </row>
    <row r="75" spans="1:46" s="114" customFormat="1" ht="12.75" x14ac:dyDescent="0.2">
      <c r="A75" s="228"/>
      <c r="B75" s="228"/>
      <c r="C75" s="229" t="s">
        <v>280</v>
      </c>
      <c r="D75" s="402">
        <v>446923.59000000008</v>
      </c>
      <c r="E75" s="402">
        <v>438803.19</v>
      </c>
      <c r="F75" s="231"/>
      <c r="G75" s="228"/>
      <c r="H75" s="402">
        <v>641736</v>
      </c>
      <c r="I75" s="402">
        <v>539425.53</v>
      </c>
      <c r="J75" s="231">
        <v>0.4358964582737731</v>
      </c>
      <c r="K75" s="228"/>
      <c r="L75" s="402">
        <v>642990.46</v>
      </c>
      <c r="M75" s="402">
        <v>624314.96000000008</v>
      </c>
      <c r="N75" s="231">
        <v>1.9547913783860694E-3</v>
      </c>
      <c r="O75" s="228"/>
      <c r="P75" s="402">
        <v>674019.83</v>
      </c>
      <c r="Q75" s="402">
        <v>666980.22</v>
      </c>
      <c r="R75" s="231">
        <v>4.8257901058127668E-2</v>
      </c>
      <c r="S75" s="228"/>
      <c r="T75" s="402">
        <v>750334.65</v>
      </c>
      <c r="U75" s="402">
        <v>729835.17</v>
      </c>
      <c r="V75" s="231">
        <v>0.11322340471792955</v>
      </c>
      <c r="W75" s="228"/>
      <c r="X75" s="402">
        <v>928786.13000000012</v>
      </c>
      <c r="Y75" s="402">
        <v>844719.49</v>
      </c>
      <c r="Z75" s="231">
        <v>0.23782918728330099</v>
      </c>
      <c r="AA75" s="228"/>
      <c r="AB75" s="402">
        <f>AB73+AB25</f>
        <v>1003542.71</v>
      </c>
      <c r="AC75" s="402">
        <f>AC73+AC25</f>
        <v>945577.61999999988</v>
      </c>
      <c r="AD75" s="231">
        <v>8.0488475856115377E-2</v>
      </c>
      <c r="AE75" s="228"/>
      <c r="AF75" s="230" t="e">
        <f ca="1">AF25+AF73</f>
        <v>#NAME?</v>
      </c>
      <c r="AG75" s="382">
        <f>AG25+AG73</f>
        <v>1066248.97</v>
      </c>
      <c r="AH75" s="230">
        <f>AH25+AH73</f>
        <v>1000073.15</v>
      </c>
      <c r="AI75" s="231">
        <f>(AG75-AB75)/AB75</f>
        <v>6.2484894140678884E-2</v>
      </c>
      <c r="AJ75" s="231"/>
      <c r="AK75" s="402">
        <f>AK73+AK25</f>
        <v>1276366.6000000001</v>
      </c>
      <c r="AL75" s="402">
        <f>AL73+AL25</f>
        <v>492166.12999999995</v>
      </c>
      <c r="AM75" s="231">
        <f t="shared" si="8"/>
        <v>0.1970624459313664</v>
      </c>
      <c r="AN75" s="228"/>
      <c r="AO75" s="232">
        <f>AO25+AO73</f>
        <v>1313039.9892500001</v>
      </c>
      <c r="AP75" s="232">
        <f>AP25+AP73</f>
        <v>36673.38925</v>
      </c>
      <c r="AQ75" s="231">
        <f>(AO75-AK75)/AK75</f>
        <v>2.8732645659953815E-2</v>
      </c>
      <c r="AR75" s="233"/>
    </row>
    <row r="76" spans="1:46" x14ac:dyDescent="0.25">
      <c r="D76" s="403"/>
      <c r="E76" s="394"/>
      <c r="F76" s="394"/>
      <c r="G76" s="394"/>
      <c r="H76" s="403"/>
      <c r="I76" s="394"/>
      <c r="J76" s="394"/>
      <c r="K76" s="394"/>
      <c r="L76" s="403"/>
      <c r="M76" s="394"/>
      <c r="N76" s="394"/>
      <c r="O76" s="394"/>
      <c r="P76" s="403"/>
      <c r="Q76" s="394"/>
      <c r="R76" s="394"/>
      <c r="S76" s="394"/>
      <c r="T76" s="403"/>
      <c r="U76" s="394"/>
      <c r="V76" s="394"/>
      <c r="W76" s="394"/>
      <c r="X76" s="403"/>
      <c r="Y76" s="394"/>
      <c r="Z76" s="394"/>
      <c r="AA76" s="394"/>
      <c r="AB76" s="403"/>
      <c r="AC76" s="394"/>
      <c r="AD76" s="394"/>
      <c r="AF76" s="120"/>
      <c r="AG76" s="120"/>
      <c r="AK76" s="403"/>
      <c r="AO76" s="104"/>
      <c r="AP76" s="104"/>
      <c r="AQ76" s="394"/>
    </row>
    <row r="77" spans="1:46" s="111" customFormat="1" thickBot="1" x14ac:dyDescent="0.25">
      <c r="C77" s="111" t="s">
        <v>281</v>
      </c>
      <c r="D77" s="122"/>
      <c r="E77" s="121">
        <v>8120.4000000000815</v>
      </c>
      <c r="H77" s="122"/>
      <c r="I77" s="121">
        <v>102310.46999999997</v>
      </c>
      <c r="L77" s="122"/>
      <c r="M77" s="121">
        <v>18675.499999999884</v>
      </c>
      <c r="P77" s="122"/>
      <c r="Q77" s="121">
        <v>7039.609999999986</v>
      </c>
      <c r="T77" s="122"/>
      <c r="U77" s="121">
        <v>20499.479999999981</v>
      </c>
      <c r="X77" s="122"/>
      <c r="Y77" s="121">
        <v>84066.64000000013</v>
      </c>
      <c r="AB77" s="122"/>
      <c r="AC77" s="437">
        <f>AB75-AC75</f>
        <v>57965.090000000084</v>
      </c>
      <c r="AF77" s="122"/>
      <c r="AG77" s="122"/>
      <c r="AH77" s="437" t="e">
        <f ca="1">AF75-AH75</f>
        <v>#NAME?</v>
      </c>
      <c r="AK77" s="122"/>
      <c r="AL77" s="437">
        <f>AK75-AL75</f>
        <v>784200.4700000002</v>
      </c>
      <c r="AO77" s="123"/>
      <c r="AP77" s="123"/>
    </row>
    <row r="78" spans="1:46" ht="15" thickTop="1" x14ac:dyDescent="0.3">
      <c r="D78" s="403"/>
      <c r="E78" s="394"/>
      <c r="F78" s="394"/>
      <c r="G78" s="394"/>
      <c r="H78" s="403"/>
      <c r="I78" s="394"/>
      <c r="J78" s="394"/>
      <c r="K78" s="394"/>
      <c r="L78" s="403"/>
      <c r="M78" s="394"/>
      <c r="N78" s="394"/>
      <c r="O78" s="394"/>
      <c r="P78" s="403"/>
      <c r="Q78" s="394"/>
      <c r="R78" s="394"/>
      <c r="S78" s="394"/>
      <c r="T78" s="403"/>
      <c r="U78" s="394"/>
      <c r="V78" s="394"/>
      <c r="W78" s="394"/>
      <c r="X78" s="403"/>
      <c r="Y78" s="394"/>
      <c r="Z78" s="394"/>
      <c r="AA78" s="394"/>
      <c r="AB78" s="137">
        <v>-9439.8799999999992</v>
      </c>
      <c r="AC78" s="394"/>
      <c r="AD78" s="394"/>
      <c r="AF78" s="122"/>
      <c r="AG78" s="122"/>
      <c r="AH78" s="371"/>
      <c r="AK78" s="122"/>
      <c r="AP78" s="183"/>
      <c r="AQ78" s="394"/>
      <c r="AR78" s="5"/>
      <c r="AS78" s="132"/>
      <c r="AT78" s="211"/>
    </row>
    <row r="79" spans="1:46" s="103" customFormat="1" ht="14.25" x14ac:dyDescent="0.3">
      <c r="A79" s="119" t="s">
        <v>611</v>
      </c>
      <c r="B79" s="119" t="str">
        <f>MID(A79,14,4)</f>
        <v>4972</v>
      </c>
      <c r="C79" s="146" t="s">
        <v>2109</v>
      </c>
      <c r="D79" s="137">
        <v>-140188.67000000001</v>
      </c>
      <c r="E79" s="398"/>
      <c r="F79" s="396"/>
      <c r="G79" s="397"/>
      <c r="H79" s="137">
        <v>-160899</v>
      </c>
      <c r="I79" s="398"/>
      <c r="J79" s="396">
        <v>0.14773183881407809</v>
      </c>
      <c r="K79" s="397"/>
      <c r="L79" s="137">
        <v>-130322</v>
      </c>
      <c r="M79" s="398"/>
      <c r="N79" s="396">
        <v>-0.19003847133916307</v>
      </c>
      <c r="O79" s="397"/>
      <c r="P79" s="137">
        <v>-130589</v>
      </c>
      <c r="Q79" s="398"/>
      <c r="R79" s="396">
        <v>2.048771504427495E-3</v>
      </c>
      <c r="S79" s="397"/>
      <c r="T79" s="137">
        <v>-160527.59</v>
      </c>
      <c r="U79" s="398"/>
      <c r="V79" s="396">
        <v>0.22925813047040713</v>
      </c>
      <c r="W79" s="397"/>
      <c r="X79" s="137">
        <v>-136850</v>
      </c>
      <c r="Y79" s="398"/>
      <c r="Z79" s="396">
        <v>-0.14749857018348059</v>
      </c>
      <c r="AA79" s="397"/>
      <c r="AB79" s="137">
        <v>-215147.6</v>
      </c>
      <c r="AC79" s="572" t="s">
        <v>2108</v>
      </c>
      <c r="AD79" s="396">
        <v>0.57214176105224701</v>
      </c>
      <c r="AE79" s="213"/>
      <c r="AF79" s="137">
        <v>-201738.56</v>
      </c>
      <c r="AG79" s="137">
        <v>-201738.56</v>
      </c>
      <c r="AH79" s="572" t="s">
        <v>2107</v>
      </c>
      <c r="AI79" s="216"/>
      <c r="AJ79" s="211"/>
      <c r="AK79" s="137">
        <v>-185293.06</v>
      </c>
      <c r="AL79" s="572" t="s">
        <v>2105</v>
      </c>
      <c r="AM79" s="396"/>
      <c r="AN79" s="397"/>
      <c r="AO79" s="320">
        <v>-199169.89</v>
      </c>
      <c r="AP79" s="572" t="s">
        <v>2106</v>
      </c>
      <c r="AQ79" s="396">
        <f>(AO79-AK79)/AK79</f>
        <v>7.4891256045963167E-2</v>
      </c>
      <c r="AR79" s="268"/>
      <c r="AS79" s="132"/>
      <c r="AT79" s="211"/>
    </row>
    <row r="80" spans="1:46" ht="14.25" x14ac:dyDescent="0.3">
      <c r="D80" s="403"/>
      <c r="E80" s="183"/>
      <c r="F80" s="394"/>
      <c r="G80" s="394"/>
      <c r="H80" s="403"/>
      <c r="I80" s="183"/>
      <c r="J80" s="394"/>
      <c r="K80" s="394"/>
      <c r="L80" s="403"/>
      <c r="M80" s="183"/>
      <c r="N80" s="394"/>
      <c r="O80" s="394"/>
      <c r="P80" s="403"/>
      <c r="Q80" s="183"/>
      <c r="R80" s="394"/>
      <c r="S80" s="394"/>
      <c r="T80" s="403"/>
      <c r="U80" s="183"/>
      <c r="V80" s="394"/>
      <c r="W80" s="394"/>
      <c r="X80" s="403"/>
      <c r="Y80" s="183"/>
      <c r="Z80" s="394"/>
      <c r="AA80" s="394"/>
      <c r="AB80" s="403"/>
      <c r="AC80" s="183"/>
      <c r="AD80" s="394"/>
      <c r="AF80" s="120"/>
      <c r="AG80" s="120"/>
      <c r="AH80" s="284"/>
      <c r="AK80" s="403"/>
      <c r="AL80" s="183"/>
      <c r="AP80" s="284"/>
      <c r="AQ80" s="394"/>
      <c r="AR80" s="268"/>
      <c r="AS80" s="132"/>
      <c r="AT80" s="211"/>
    </row>
    <row r="81" spans="1:46" s="147" customFormat="1" x14ac:dyDescent="0.25">
      <c r="C81" s="148" t="s">
        <v>612</v>
      </c>
      <c r="D81" s="149">
        <v>306734.92000000004</v>
      </c>
      <c r="E81" s="182"/>
      <c r="F81" s="165"/>
      <c r="H81" s="149">
        <v>480837</v>
      </c>
      <c r="I81" s="182"/>
      <c r="J81" s="165">
        <v>0.56759784637497401</v>
      </c>
      <c r="L81" s="149">
        <v>512668.45999999996</v>
      </c>
      <c r="M81" s="182"/>
      <c r="N81" s="165">
        <v>6.6200105233166259E-2</v>
      </c>
      <c r="P81" s="149">
        <v>543430.82999999996</v>
      </c>
      <c r="Q81" s="182"/>
      <c r="R81" s="165">
        <v>6.0004412988464317E-2</v>
      </c>
      <c r="T81" s="149">
        <v>589807.06000000006</v>
      </c>
      <c r="U81" s="182"/>
      <c r="V81" s="165">
        <v>8.533971103553345E-2</v>
      </c>
      <c r="X81" s="149">
        <v>791936.13000000012</v>
      </c>
      <c r="Y81" s="182">
        <v>202129.07000000007</v>
      </c>
      <c r="Z81" s="165">
        <v>0.34270371399080923</v>
      </c>
      <c r="AB81" s="149">
        <v>778955.23</v>
      </c>
      <c r="AC81" s="182">
        <v>-12980.90000000014</v>
      </c>
      <c r="AD81" s="165">
        <v>-1.6391347115328778E-2</v>
      </c>
      <c r="AF81" s="149" t="e">
        <f ca="1">AF75+AF78+AF79</f>
        <v>#NAME?</v>
      </c>
      <c r="AG81" s="149">
        <v>833202.73</v>
      </c>
      <c r="AH81" s="182"/>
      <c r="AI81" s="165">
        <f>(AG81-AB81)/AB81</f>
        <v>6.96413579507002E-2</v>
      </c>
      <c r="AJ81" s="165"/>
      <c r="AK81" s="149">
        <f>AK75+AK79</f>
        <v>1091073.54</v>
      </c>
      <c r="AL81" s="182"/>
      <c r="AM81" s="165">
        <f t="shared" si="8"/>
        <v>0.30949347705569813</v>
      </c>
      <c r="AO81" s="149">
        <f>AO75+AO79</f>
        <v>1113870.09925</v>
      </c>
      <c r="AP81" s="230">
        <f>AO81-AK81</f>
        <v>22796.559249999933</v>
      </c>
      <c r="AQ81" s="231">
        <f t="shared" ref="AQ81:AQ83" si="9">(AO81-AK81)/AK81</f>
        <v>2.0893696358908982E-2</v>
      </c>
      <c r="AR81" s="268"/>
      <c r="AS81" s="132"/>
      <c r="AT81" s="211"/>
    </row>
    <row r="82" spans="1:46" x14ac:dyDescent="0.25">
      <c r="D82" s="403"/>
      <c r="E82" s="394"/>
      <c r="F82" s="394"/>
      <c r="G82" s="394"/>
      <c r="H82" s="403"/>
      <c r="I82" s="394"/>
      <c r="J82" s="394"/>
      <c r="K82" s="394"/>
      <c r="L82" s="403"/>
      <c r="M82" s="394"/>
      <c r="N82" s="394"/>
      <c r="O82" s="394"/>
      <c r="P82" s="403"/>
      <c r="Q82" s="394"/>
      <c r="R82" s="394"/>
      <c r="S82" s="394"/>
      <c r="T82" s="403"/>
      <c r="U82" s="394"/>
      <c r="V82" s="394"/>
      <c r="W82" s="394"/>
      <c r="X82" s="403"/>
      <c r="Y82" s="394"/>
      <c r="Z82" s="394"/>
      <c r="AA82" s="394"/>
      <c r="AB82" s="403"/>
      <c r="AC82" s="394"/>
      <c r="AD82" s="394"/>
      <c r="AF82" s="120"/>
      <c r="AG82" s="120"/>
      <c r="AK82" s="403"/>
      <c r="AQ82" s="268"/>
      <c r="AR82" s="268"/>
      <c r="AS82" s="269"/>
      <c r="AT82" s="211"/>
    </row>
    <row r="83" spans="1:46" s="114" customFormat="1" ht="14.25" thickBot="1" x14ac:dyDescent="0.3">
      <c r="A83" s="197" t="s">
        <v>978</v>
      </c>
      <c r="C83" s="114" t="s">
        <v>613</v>
      </c>
      <c r="D83" s="150">
        <v>102244.97333333334</v>
      </c>
      <c r="E83" s="182"/>
      <c r="F83" s="165"/>
      <c r="H83" s="150">
        <v>160279</v>
      </c>
      <c r="I83" s="182"/>
      <c r="J83" s="165">
        <v>0.56759784637497401</v>
      </c>
      <c r="L83" s="150">
        <v>170889.48666666666</v>
      </c>
      <c r="M83" s="182"/>
      <c r="N83" s="165">
        <v>6.6200105233166315E-2</v>
      </c>
      <c r="P83" s="150">
        <v>181143.61</v>
      </c>
      <c r="Q83" s="182"/>
      <c r="R83" s="165">
        <v>6.0004412988464255E-2</v>
      </c>
      <c r="T83" s="150">
        <v>196602.35333333336</v>
      </c>
      <c r="U83" s="182"/>
      <c r="V83" s="165">
        <v>8.5339711035533505E-2</v>
      </c>
      <c r="X83" s="150">
        <v>263978.71000000002</v>
      </c>
      <c r="Y83" s="182">
        <v>67376.356666666659</v>
      </c>
      <c r="Z83" s="165">
        <v>0.34270371399080907</v>
      </c>
      <c r="AB83" s="150">
        <v>259651.74333333332</v>
      </c>
      <c r="AC83" s="182">
        <v>-4326.9666666667035</v>
      </c>
      <c r="AD83" s="165">
        <v>-1.6391347115328744E-2</v>
      </c>
      <c r="AF83" s="150" t="e">
        <f ca="1">AF81/3</f>
        <v>#NAME?</v>
      </c>
      <c r="AG83" s="150">
        <v>277734.24</v>
      </c>
      <c r="AH83" s="182"/>
      <c r="AI83" s="165">
        <f>(AG83-AB83)/AB83</f>
        <v>6.9641345112991956E-2</v>
      </c>
      <c r="AJ83" s="165"/>
      <c r="AK83" s="150">
        <f>AK81/3</f>
        <v>363691.18</v>
      </c>
      <c r="AL83" s="182"/>
      <c r="AM83" s="165">
        <f>(AK83-AG83)/AG83</f>
        <v>0.30949349277208316</v>
      </c>
      <c r="AO83" s="150">
        <f>AO81/3</f>
        <v>371290.03308333334</v>
      </c>
      <c r="AP83" s="402">
        <f>AO83-AK83</f>
        <v>7598.8530833333498</v>
      </c>
      <c r="AQ83" s="231">
        <f t="shared" si="9"/>
        <v>2.089369635890909E-2</v>
      </c>
      <c r="AR83" s="270"/>
      <c r="AS83" s="267"/>
      <c r="AT83" s="211"/>
    </row>
    <row r="84" spans="1:46" ht="14.25" thickTop="1" x14ac:dyDescent="0.25">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O84" s="161"/>
      <c r="AR84" s="131"/>
    </row>
    <row r="85" spans="1:46" x14ac:dyDescent="0.25">
      <c r="D85" s="403"/>
      <c r="E85" s="394"/>
      <c r="F85" s="394"/>
      <c r="G85" s="394"/>
      <c r="H85" s="403"/>
      <c r="I85" s="394"/>
      <c r="J85" s="394"/>
      <c r="K85" s="394"/>
      <c r="L85" s="403"/>
      <c r="M85" s="394"/>
      <c r="N85" s="394"/>
      <c r="O85" s="394"/>
      <c r="P85" s="403"/>
      <c r="Q85" s="394"/>
      <c r="R85" s="394"/>
      <c r="S85" s="394"/>
      <c r="T85" s="403"/>
      <c r="U85" s="394"/>
      <c r="V85" s="394"/>
      <c r="W85" s="394"/>
      <c r="X85" s="403"/>
      <c r="Y85" s="394"/>
      <c r="Z85" s="394"/>
      <c r="AA85" s="394"/>
      <c r="AB85" s="403"/>
      <c r="AC85" s="394"/>
      <c r="AD85" s="394"/>
      <c r="AF85" s="120"/>
      <c r="AG85" s="120"/>
      <c r="AK85" s="403"/>
      <c r="AO85" s="322" t="s">
        <v>1263</v>
      </c>
      <c r="AP85" s="323"/>
      <c r="AQ85" s="323"/>
      <c r="AR85" s="131"/>
    </row>
    <row r="86" spans="1:46" x14ac:dyDescent="0.25">
      <c r="D86" s="403"/>
      <c r="E86" s="394"/>
      <c r="F86" s="394"/>
      <c r="G86" s="394"/>
      <c r="H86" s="403"/>
      <c r="I86" s="394"/>
      <c r="J86" s="394"/>
      <c r="K86" s="394"/>
      <c r="L86" s="403"/>
      <c r="M86" s="394"/>
      <c r="N86" s="394"/>
      <c r="O86" s="394"/>
      <c r="P86" s="403"/>
      <c r="Q86" s="394"/>
      <c r="R86" s="394"/>
      <c r="S86" s="394"/>
      <c r="T86" s="403"/>
      <c r="U86" s="394"/>
      <c r="V86" s="394"/>
      <c r="W86" s="394"/>
      <c r="X86" s="403"/>
      <c r="Y86" s="394"/>
      <c r="Z86" s="394"/>
      <c r="AA86" s="394"/>
      <c r="AB86" s="403"/>
      <c r="AC86" s="394"/>
      <c r="AD86" s="394"/>
      <c r="AF86" s="120"/>
      <c r="AG86" s="120"/>
      <c r="AK86" s="403"/>
      <c r="AO86" s="243" t="s">
        <v>313</v>
      </c>
      <c r="AP86" s="5"/>
      <c r="AQ86" s="304">
        <f>AO25*0.0145</f>
        <v>12207.546375000002</v>
      </c>
      <c r="AR86" s="131" t="s">
        <v>1466</v>
      </c>
    </row>
    <row r="87" spans="1:46" x14ac:dyDescent="0.25">
      <c r="D87" s="403"/>
      <c r="E87" s="394"/>
      <c r="F87" s="394"/>
      <c r="G87" s="394"/>
      <c r="H87" s="403"/>
      <c r="I87" s="394"/>
      <c r="J87" s="394"/>
      <c r="K87" s="394"/>
      <c r="L87" s="403"/>
      <c r="M87" s="394"/>
      <c r="N87" s="394"/>
      <c r="O87" s="394"/>
      <c r="P87" s="403"/>
      <c r="Q87" s="394"/>
      <c r="R87" s="394"/>
      <c r="S87" s="394"/>
      <c r="T87" s="403"/>
      <c r="U87" s="394"/>
      <c r="V87" s="394"/>
      <c r="W87" s="394"/>
      <c r="X87" s="403"/>
      <c r="Y87" s="394"/>
      <c r="Z87" s="394"/>
      <c r="AA87" s="394"/>
      <c r="AB87" s="403"/>
      <c r="AC87" s="394"/>
      <c r="AD87" s="394"/>
      <c r="AF87" s="120"/>
      <c r="AG87" s="120"/>
      <c r="AK87" s="403"/>
      <c r="AO87" s="210" t="s">
        <v>314</v>
      </c>
      <c r="AP87" s="5"/>
      <c r="AQ87" s="304">
        <f>AO25*0.046</f>
        <v>38727.388500000008</v>
      </c>
      <c r="AR87" s="131"/>
    </row>
    <row r="88" spans="1:46" x14ac:dyDescent="0.25">
      <c r="D88" s="403"/>
      <c r="E88" s="394"/>
      <c r="F88" s="394"/>
      <c r="G88" s="394"/>
      <c r="H88" s="403"/>
      <c r="I88" s="394"/>
      <c r="J88" s="394"/>
      <c r="K88" s="394"/>
      <c r="L88" s="403"/>
      <c r="M88" s="394"/>
      <c r="N88" s="394"/>
      <c r="O88" s="394"/>
      <c r="P88" s="403"/>
      <c r="Q88" s="394"/>
      <c r="R88" s="394"/>
      <c r="S88" s="394"/>
      <c r="T88" s="403"/>
      <c r="U88" s="394"/>
      <c r="V88" s="394"/>
      <c r="W88" s="394"/>
      <c r="X88" s="403"/>
      <c r="Y88" s="394"/>
      <c r="Z88" s="394"/>
      <c r="AA88" s="394"/>
      <c r="AB88" s="403"/>
      <c r="AC88" s="394"/>
      <c r="AD88" s="394"/>
      <c r="AF88" s="120"/>
      <c r="AG88" s="120"/>
      <c r="AK88" s="403"/>
      <c r="AO88" s="210" t="s">
        <v>315</v>
      </c>
      <c r="AP88" s="5"/>
      <c r="AQ88" s="304">
        <f>AO25*0.003</f>
        <v>2525.6992500000006</v>
      </c>
      <c r="AR88" s="131"/>
    </row>
    <row r="89" spans="1:46" x14ac:dyDescent="0.25">
      <c r="D89" s="403"/>
      <c r="E89" s="394"/>
      <c r="F89" s="394"/>
      <c r="G89" s="394"/>
      <c r="H89" s="403"/>
      <c r="I89" s="394"/>
      <c r="J89" s="394"/>
      <c r="K89" s="394"/>
      <c r="L89" s="403"/>
      <c r="M89" s="394"/>
      <c r="N89" s="394"/>
      <c r="O89" s="394"/>
      <c r="P89" s="403"/>
      <c r="Q89" s="394"/>
      <c r="R89" s="394"/>
      <c r="S89" s="394"/>
      <c r="T89" s="403"/>
      <c r="U89" s="394"/>
      <c r="V89" s="394"/>
      <c r="W89" s="394"/>
      <c r="X89" s="403"/>
      <c r="Y89" s="394"/>
      <c r="Z89" s="394"/>
      <c r="AA89" s="394"/>
      <c r="AB89" s="403"/>
      <c r="AC89" s="394"/>
      <c r="AD89" s="394"/>
      <c r="AF89" s="120"/>
      <c r="AG89" s="120"/>
      <c r="AK89" s="403"/>
      <c r="AO89" s="210" t="s">
        <v>316</v>
      </c>
      <c r="AP89" s="5"/>
      <c r="AQ89" s="304">
        <f>'County Retirement'!G19</f>
        <v>69053.138043792147</v>
      </c>
      <c r="AR89" s="131"/>
    </row>
    <row r="90" spans="1:46" x14ac:dyDescent="0.25">
      <c r="D90" s="403"/>
      <c r="E90" s="394"/>
      <c r="F90" s="394"/>
      <c r="G90" s="394"/>
      <c r="H90" s="403"/>
      <c r="I90" s="394"/>
      <c r="J90" s="394"/>
      <c r="K90" s="394"/>
      <c r="L90" s="403"/>
      <c r="M90" s="394"/>
      <c r="N90" s="394"/>
      <c r="O90" s="394"/>
      <c r="P90" s="403"/>
      <c r="Q90" s="394"/>
      <c r="R90" s="394"/>
      <c r="S90" s="394"/>
      <c r="T90" s="403"/>
      <c r="U90" s="394"/>
      <c r="V90" s="394"/>
      <c r="W90" s="394"/>
      <c r="X90" s="403"/>
      <c r="Y90" s="394"/>
      <c r="Z90" s="394"/>
      <c r="AA90" s="394"/>
      <c r="AB90" s="403"/>
      <c r="AC90" s="394"/>
      <c r="AD90" s="394"/>
      <c r="AF90" s="120"/>
      <c r="AG90" s="120"/>
      <c r="AK90" s="403"/>
      <c r="AO90" s="210" t="s">
        <v>317</v>
      </c>
      <c r="AP90" s="5"/>
      <c r="AQ90" s="305">
        <f>'Health Ins'!L54</f>
        <v>122112</v>
      </c>
      <c r="AR90" s="131"/>
    </row>
    <row r="91" spans="1:46" x14ac:dyDescent="0.25">
      <c r="D91" s="403"/>
      <c r="E91" s="394"/>
      <c r="F91" s="394"/>
      <c r="G91" s="394"/>
      <c r="H91" s="403"/>
      <c r="I91" s="394"/>
      <c r="J91" s="394"/>
      <c r="K91" s="394"/>
      <c r="L91" s="403"/>
      <c r="M91" s="394"/>
      <c r="N91" s="394"/>
      <c r="O91" s="394"/>
      <c r="P91" s="403"/>
      <c r="Q91" s="394"/>
      <c r="R91" s="394"/>
      <c r="S91" s="394"/>
      <c r="T91" s="403"/>
      <c r="U91" s="394"/>
      <c r="V91" s="394"/>
      <c r="W91" s="394"/>
      <c r="X91" s="403"/>
      <c r="Y91" s="394"/>
      <c r="Z91" s="394"/>
      <c r="AA91" s="394"/>
      <c r="AB91" s="403"/>
      <c r="AC91" s="394"/>
      <c r="AD91" s="394"/>
      <c r="AF91" s="120"/>
      <c r="AG91" s="120"/>
      <c r="AK91" s="403"/>
      <c r="AO91" s="235"/>
      <c r="AP91" s="266"/>
      <c r="AQ91" s="306">
        <f>SUM(AQ86:AQ90)</f>
        <v>244625.77216879214</v>
      </c>
    </row>
    <row r="92" spans="1:46" s="211" customFormat="1" x14ac:dyDescent="0.25">
      <c r="D92" s="403"/>
      <c r="E92" s="394"/>
      <c r="F92" s="394"/>
      <c r="G92" s="394"/>
      <c r="H92" s="403"/>
      <c r="I92" s="394"/>
      <c r="J92" s="394"/>
      <c r="K92" s="394"/>
      <c r="L92" s="403"/>
      <c r="M92" s="394"/>
      <c r="N92" s="394"/>
      <c r="O92" s="394"/>
      <c r="P92" s="403"/>
      <c r="Q92" s="394"/>
      <c r="R92" s="394"/>
      <c r="S92" s="394"/>
      <c r="T92" s="403"/>
      <c r="U92" s="394"/>
      <c r="V92" s="394"/>
      <c r="W92" s="394"/>
      <c r="X92" s="403"/>
      <c r="Y92" s="394"/>
      <c r="Z92" s="394"/>
      <c r="AA92" s="394"/>
      <c r="AB92" s="403"/>
      <c r="AC92" s="394"/>
      <c r="AD92" s="394"/>
      <c r="AF92" s="120"/>
      <c r="AG92" s="120"/>
      <c r="AK92" s="403"/>
      <c r="AL92" s="394"/>
      <c r="AM92" s="394"/>
      <c r="AN92" s="394"/>
      <c r="AO92" s="270"/>
      <c r="AP92" s="5"/>
      <c r="AQ92" s="347"/>
    </row>
    <row r="93" spans="1:46" x14ac:dyDescent="0.25">
      <c r="D93" s="403"/>
      <c r="E93" s="394"/>
      <c r="F93" s="394"/>
      <c r="G93" s="394"/>
      <c r="H93" s="403"/>
      <c r="I93" s="394"/>
      <c r="J93" s="394"/>
      <c r="K93" s="394"/>
      <c r="L93" s="403"/>
      <c r="M93" s="394"/>
      <c r="N93" s="394"/>
      <c r="O93" s="394"/>
      <c r="P93" s="403"/>
      <c r="Q93" s="394"/>
      <c r="R93" s="394"/>
      <c r="S93" s="394"/>
      <c r="T93" s="403"/>
      <c r="U93" s="394"/>
      <c r="V93" s="394"/>
      <c r="W93" s="394"/>
      <c r="X93" s="403"/>
      <c r="Y93" s="394"/>
      <c r="Z93" s="394"/>
      <c r="AA93" s="394"/>
      <c r="AB93" s="408">
        <v>-298033.15999999997</v>
      </c>
      <c r="AC93" s="394"/>
      <c r="AD93" s="394"/>
      <c r="AF93" s="408">
        <f>-(AF12+AF13+AF14+AF15+AF23)</f>
        <v>-298231.04000000004</v>
      </c>
      <c r="AG93" s="120"/>
      <c r="AK93" s="408">
        <v>-298033.16000000003</v>
      </c>
      <c r="AO93" s="408">
        <f>-(AO13+AO14+AO15+AO23)</f>
        <v>-277292</v>
      </c>
    </row>
    <row r="94" spans="1:46" x14ac:dyDescent="0.25">
      <c r="D94" s="403"/>
      <c r="E94" s="394"/>
      <c r="F94" s="394"/>
      <c r="G94" s="394"/>
      <c r="H94" s="403"/>
      <c r="I94" s="394"/>
      <c r="J94" s="394"/>
      <c r="K94" s="394"/>
      <c r="L94" s="403"/>
      <c r="M94" s="394"/>
      <c r="N94" s="394"/>
      <c r="O94" s="394"/>
      <c r="P94" s="403"/>
      <c r="Q94" s="394"/>
      <c r="R94" s="394"/>
      <c r="S94" s="394"/>
      <c r="T94" s="403"/>
      <c r="U94" s="394"/>
      <c r="V94" s="394"/>
      <c r="W94" s="394"/>
      <c r="X94" s="403"/>
      <c r="Y94" s="394"/>
      <c r="Z94" s="394"/>
      <c r="AA94" s="394"/>
      <c r="AB94" s="403"/>
      <c r="AC94" s="394"/>
      <c r="AD94" s="394"/>
      <c r="AF94" s="120"/>
      <c r="AG94" s="120"/>
      <c r="AK94" s="403"/>
    </row>
    <row r="95" spans="1:46" x14ac:dyDescent="0.25">
      <c r="D95" s="403"/>
      <c r="E95" s="394"/>
      <c r="F95" s="394"/>
      <c r="G95" s="394"/>
      <c r="H95" s="403"/>
      <c r="I95" s="394"/>
      <c r="J95" s="394"/>
      <c r="K95" s="394"/>
      <c r="L95" s="403"/>
      <c r="M95" s="394"/>
      <c r="N95" s="394"/>
      <c r="O95" s="394"/>
      <c r="P95" s="403"/>
      <c r="Q95" s="394"/>
      <c r="R95" s="394"/>
      <c r="S95" s="394"/>
      <c r="T95" s="403"/>
      <c r="U95" s="394"/>
      <c r="V95" s="394"/>
      <c r="W95" s="394"/>
      <c r="X95" s="403"/>
      <c r="Y95" s="394"/>
      <c r="Z95" s="394"/>
      <c r="AA95" s="394"/>
      <c r="AB95" s="403"/>
      <c r="AC95" s="394"/>
      <c r="AD95" s="394"/>
      <c r="AF95" s="120"/>
      <c r="AG95" s="120"/>
      <c r="AK95" s="403"/>
    </row>
    <row r="96" spans="1:46" x14ac:dyDescent="0.25">
      <c r="D96" s="403"/>
      <c r="E96" s="394"/>
      <c r="F96" s="394"/>
      <c r="G96" s="394"/>
      <c r="H96" s="403"/>
      <c r="I96" s="394"/>
      <c r="J96" s="394"/>
      <c r="K96" s="394"/>
      <c r="L96" s="403"/>
      <c r="M96" s="394"/>
      <c r="N96" s="394"/>
      <c r="O96" s="394"/>
      <c r="P96" s="403"/>
      <c r="Q96" s="394"/>
      <c r="R96" s="394"/>
      <c r="S96" s="394"/>
      <c r="T96" s="403"/>
      <c r="U96" s="394"/>
      <c r="V96" s="394"/>
      <c r="W96" s="394"/>
      <c r="X96" s="403"/>
      <c r="Y96" s="394"/>
      <c r="Z96" s="394"/>
      <c r="AA96" s="394"/>
      <c r="AB96" s="403"/>
      <c r="AC96" s="394"/>
      <c r="AD96" s="394"/>
      <c r="AF96" s="120"/>
      <c r="AG96" s="120"/>
      <c r="AK96" s="403"/>
    </row>
    <row r="97" spans="4:37" x14ac:dyDescent="0.25">
      <c r="D97" s="403"/>
      <c r="E97" s="394"/>
      <c r="F97" s="394"/>
      <c r="G97" s="394"/>
      <c r="H97" s="403"/>
      <c r="I97" s="394"/>
      <c r="J97" s="394"/>
      <c r="K97" s="394"/>
      <c r="L97" s="403"/>
      <c r="M97" s="394"/>
      <c r="N97" s="394"/>
      <c r="O97" s="394"/>
      <c r="P97" s="403"/>
      <c r="Q97" s="394"/>
      <c r="R97" s="394"/>
      <c r="S97" s="394"/>
      <c r="T97" s="403"/>
      <c r="U97" s="394"/>
      <c r="V97" s="394"/>
      <c r="W97" s="394"/>
      <c r="X97" s="403"/>
      <c r="Y97" s="394"/>
      <c r="Z97" s="394"/>
      <c r="AA97" s="394"/>
      <c r="AB97" s="403"/>
      <c r="AC97" s="394"/>
      <c r="AD97" s="394"/>
      <c r="AF97" s="120"/>
      <c r="AG97" s="120"/>
      <c r="AK97" s="403"/>
    </row>
    <row r="98" spans="4:37" x14ac:dyDescent="0.25">
      <c r="D98" s="403"/>
      <c r="E98" s="394"/>
      <c r="F98" s="394"/>
      <c r="G98" s="394"/>
      <c r="H98" s="403"/>
      <c r="I98" s="394"/>
      <c r="J98" s="394"/>
      <c r="K98" s="394"/>
      <c r="L98" s="403"/>
      <c r="M98" s="394"/>
      <c r="N98" s="394"/>
      <c r="O98" s="394"/>
      <c r="P98" s="403"/>
      <c r="Q98" s="394"/>
      <c r="R98" s="394"/>
      <c r="S98" s="394"/>
      <c r="T98" s="403"/>
      <c r="U98" s="394"/>
      <c r="V98" s="394"/>
      <c r="W98" s="394"/>
      <c r="X98" s="403"/>
      <c r="Y98" s="394"/>
      <c r="Z98" s="394"/>
      <c r="AA98" s="394"/>
      <c r="AB98" s="403"/>
      <c r="AC98" s="394"/>
      <c r="AD98" s="394"/>
      <c r="AF98" s="120"/>
      <c r="AG98" s="120"/>
      <c r="AK98" s="403"/>
    </row>
    <row r="99" spans="4:37" x14ac:dyDescent="0.25">
      <c r="D99" s="403"/>
      <c r="E99" s="394"/>
      <c r="F99" s="394"/>
      <c r="G99" s="394"/>
      <c r="H99" s="403"/>
      <c r="I99" s="394"/>
      <c r="J99" s="394"/>
      <c r="K99" s="394"/>
      <c r="L99" s="403"/>
      <c r="M99" s="394"/>
      <c r="N99" s="394"/>
      <c r="O99" s="394"/>
      <c r="P99" s="403"/>
      <c r="Q99" s="394"/>
      <c r="R99" s="394"/>
      <c r="S99" s="394"/>
      <c r="T99" s="403"/>
      <c r="U99" s="394"/>
      <c r="V99" s="394"/>
      <c r="W99" s="394"/>
      <c r="X99" s="403"/>
      <c r="Y99" s="394"/>
      <c r="Z99" s="394"/>
      <c r="AA99" s="394"/>
      <c r="AB99" s="403"/>
      <c r="AC99" s="394"/>
      <c r="AD99" s="394"/>
      <c r="AF99" s="120"/>
      <c r="AG99" s="120"/>
      <c r="AK99" s="403"/>
    </row>
    <row r="100" spans="4:37" x14ac:dyDescent="0.25">
      <c r="D100" s="403"/>
      <c r="E100" s="394"/>
      <c r="F100" s="394"/>
      <c r="G100" s="394"/>
      <c r="H100" s="403"/>
      <c r="I100" s="394"/>
      <c r="J100" s="394"/>
      <c r="K100" s="394"/>
      <c r="L100" s="403"/>
      <c r="M100" s="394"/>
      <c r="N100" s="394"/>
      <c r="O100" s="394"/>
      <c r="P100" s="403"/>
      <c r="Q100" s="394"/>
      <c r="R100" s="394"/>
      <c r="S100" s="394"/>
      <c r="T100" s="403"/>
      <c r="U100" s="394"/>
      <c r="V100" s="394"/>
      <c r="W100" s="394"/>
      <c r="X100" s="403"/>
      <c r="Y100" s="394"/>
      <c r="Z100" s="394"/>
      <c r="AA100" s="394"/>
      <c r="AB100" s="403"/>
      <c r="AC100" s="394"/>
      <c r="AD100" s="394"/>
      <c r="AF100" s="120"/>
      <c r="AG100" s="120"/>
      <c r="AK100" s="403"/>
    </row>
    <row r="101" spans="4:37" x14ac:dyDescent="0.25">
      <c r="D101" s="403"/>
      <c r="E101" s="394"/>
      <c r="F101" s="394"/>
      <c r="G101" s="394"/>
      <c r="H101" s="403"/>
      <c r="I101" s="394"/>
      <c r="J101" s="394"/>
      <c r="K101" s="394"/>
      <c r="L101" s="403"/>
      <c r="M101" s="394"/>
      <c r="N101" s="394"/>
      <c r="O101" s="394"/>
      <c r="P101" s="403"/>
      <c r="Q101" s="394"/>
      <c r="R101" s="394"/>
      <c r="S101" s="394"/>
      <c r="T101" s="403"/>
      <c r="U101" s="394"/>
      <c r="V101" s="394"/>
      <c r="W101" s="394"/>
      <c r="X101" s="403"/>
      <c r="Y101" s="394"/>
      <c r="Z101" s="394"/>
      <c r="AA101" s="394"/>
      <c r="AB101" s="403"/>
      <c r="AC101" s="394"/>
      <c r="AD101" s="394"/>
      <c r="AF101" s="120"/>
      <c r="AG101" s="120"/>
      <c r="AK101" s="403"/>
    </row>
    <row r="102" spans="4:37" x14ac:dyDescent="0.25">
      <c r="D102" s="403"/>
      <c r="E102" s="394"/>
      <c r="F102" s="394"/>
      <c r="G102" s="394"/>
      <c r="H102" s="403"/>
      <c r="I102" s="394"/>
      <c r="J102" s="394"/>
      <c r="K102" s="394"/>
      <c r="L102" s="403"/>
      <c r="M102" s="394"/>
      <c r="N102" s="394"/>
      <c r="O102" s="394"/>
      <c r="P102" s="403"/>
      <c r="Q102" s="394"/>
      <c r="R102" s="394"/>
      <c r="S102" s="394"/>
      <c r="T102" s="403"/>
      <c r="U102" s="394"/>
      <c r="V102" s="394"/>
      <c r="W102" s="394"/>
      <c r="X102" s="403"/>
      <c r="Y102" s="394"/>
      <c r="Z102" s="394"/>
      <c r="AA102" s="394"/>
      <c r="AB102" s="403"/>
      <c r="AC102" s="394"/>
      <c r="AD102" s="394"/>
      <c r="AF102" s="120"/>
      <c r="AG102" s="120"/>
      <c r="AK102" s="403"/>
    </row>
    <row r="103" spans="4:37" x14ac:dyDescent="0.25">
      <c r="D103" s="403"/>
      <c r="E103" s="394"/>
      <c r="F103" s="394"/>
      <c r="G103" s="394"/>
      <c r="H103" s="403"/>
      <c r="I103" s="394"/>
      <c r="J103" s="394"/>
      <c r="K103" s="394"/>
      <c r="L103" s="403"/>
      <c r="M103" s="394"/>
      <c r="N103" s="394"/>
      <c r="O103" s="394"/>
      <c r="P103" s="403"/>
      <c r="Q103" s="394"/>
      <c r="R103" s="394"/>
      <c r="S103" s="394"/>
      <c r="T103" s="403"/>
      <c r="U103" s="394"/>
      <c r="V103" s="394"/>
      <c r="W103" s="394"/>
      <c r="X103" s="403"/>
      <c r="Y103" s="394"/>
      <c r="Z103" s="394"/>
      <c r="AA103" s="394"/>
      <c r="AB103" s="403"/>
      <c r="AC103" s="394"/>
      <c r="AD103" s="394"/>
      <c r="AF103" s="120"/>
      <c r="AG103" s="120"/>
      <c r="AK103" s="403"/>
    </row>
    <row r="104" spans="4:37" x14ac:dyDescent="0.25">
      <c r="D104" s="403"/>
      <c r="E104" s="394"/>
      <c r="F104" s="394"/>
      <c r="G104" s="394"/>
      <c r="H104" s="403"/>
      <c r="I104" s="394"/>
      <c r="J104" s="394"/>
      <c r="K104" s="394"/>
      <c r="L104" s="403"/>
      <c r="M104" s="394"/>
      <c r="N104" s="394"/>
      <c r="O104" s="394"/>
      <c r="P104" s="403"/>
      <c r="Q104" s="394"/>
      <c r="R104" s="394"/>
      <c r="S104" s="394"/>
      <c r="T104" s="403"/>
      <c r="U104" s="394"/>
      <c r="V104" s="394"/>
      <c r="W104" s="394"/>
      <c r="X104" s="403"/>
      <c r="Y104" s="394"/>
      <c r="Z104" s="394"/>
      <c r="AA104" s="394"/>
      <c r="AB104" s="403"/>
      <c r="AC104" s="394"/>
      <c r="AD104" s="394"/>
      <c r="AF104" s="120"/>
      <c r="AG104" s="120"/>
      <c r="AK104" s="403"/>
    </row>
    <row r="105" spans="4:37" x14ac:dyDescent="0.25">
      <c r="D105" s="403"/>
      <c r="E105" s="394"/>
      <c r="F105" s="394"/>
      <c r="G105" s="394"/>
      <c r="H105" s="403"/>
      <c r="I105" s="394"/>
      <c r="J105" s="394"/>
      <c r="K105" s="394"/>
      <c r="L105" s="403"/>
      <c r="M105" s="394"/>
      <c r="N105" s="394"/>
      <c r="O105" s="394"/>
      <c r="P105" s="403"/>
      <c r="Q105" s="394"/>
      <c r="R105" s="394"/>
      <c r="S105" s="394"/>
      <c r="T105" s="403"/>
      <c r="U105" s="394"/>
      <c r="V105" s="394"/>
      <c r="W105" s="394"/>
      <c r="X105" s="403"/>
      <c r="Y105" s="394"/>
      <c r="Z105" s="394"/>
      <c r="AA105" s="394"/>
      <c r="AB105" s="403"/>
      <c r="AC105" s="394"/>
      <c r="AD105" s="394"/>
      <c r="AF105" s="120"/>
      <c r="AG105" s="120"/>
      <c r="AK105" s="403"/>
    </row>
    <row r="106" spans="4:37" x14ac:dyDescent="0.25">
      <c r="D106" s="403"/>
      <c r="E106" s="394"/>
      <c r="F106" s="394"/>
      <c r="G106" s="394"/>
      <c r="H106" s="403"/>
      <c r="I106" s="394"/>
      <c r="J106" s="394"/>
      <c r="K106" s="394"/>
      <c r="L106" s="403"/>
      <c r="M106" s="394"/>
      <c r="N106" s="394"/>
      <c r="O106" s="394"/>
      <c r="P106" s="403"/>
      <c r="Q106" s="394"/>
      <c r="R106" s="394"/>
      <c r="S106" s="394"/>
      <c r="T106" s="403"/>
      <c r="U106" s="394"/>
      <c r="V106" s="394"/>
      <c r="W106" s="394"/>
      <c r="X106" s="403"/>
      <c r="Y106" s="394"/>
      <c r="Z106" s="394"/>
      <c r="AA106" s="394"/>
      <c r="AB106" s="403"/>
      <c r="AC106" s="394"/>
      <c r="AD106" s="394"/>
      <c r="AF106" s="120"/>
      <c r="AG106" s="120"/>
      <c r="AK106" s="403"/>
    </row>
    <row r="107" spans="4:37" x14ac:dyDescent="0.25">
      <c r="D107" s="403"/>
      <c r="E107" s="394"/>
      <c r="F107" s="394"/>
      <c r="G107" s="394"/>
      <c r="H107" s="403"/>
      <c r="I107" s="394"/>
      <c r="J107" s="394"/>
      <c r="K107" s="394"/>
      <c r="L107" s="403"/>
      <c r="M107" s="394"/>
      <c r="N107" s="394"/>
      <c r="O107" s="394"/>
      <c r="P107" s="403"/>
      <c r="Q107" s="394"/>
      <c r="R107" s="394"/>
      <c r="S107" s="394"/>
      <c r="T107" s="403"/>
      <c r="U107" s="394"/>
      <c r="V107" s="394"/>
      <c r="W107" s="394"/>
      <c r="X107" s="403"/>
      <c r="Y107" s="394"/>
      <c r="Z107" s="394"/>
      <c r="AA107" s="394"/>
      <c r="AB107" s="403"/>
      <c r="AC107" s="394"/>
      <c r="AD107" s="394"/>
      <c r="AF107" s="120"/>
      <c r="AG107" s="120"/>
      <c r="AK107" s="403"/>
    </row>
    <row r="108" spans="4:37" x14ac:dyDescent="0.25">
      <c r="D108" s="403"/>
      <c r="E108" s="394"/>
      <c r="F108" s="394"/>
      <c r="G108" s="394"/>
      <c r="H108" s="403"/>
      <c r="I108" s="394"/>
      <c r="J108" s="394"/>
      <c r="K108" s="394"/>
      <c r="L108" s="403"/>
      <c r="M108" s="394"/>
      <c r="N108" s="394"/>
      <c r="O108" s="394"/>
      <c r="P108" s="403"/>
      <c r="Q108" s="394"/>
      <c r="R108" s="394"/>
      <c r="S108" s="394"/>
      <c r="T108" s="403"/>
      <c r="U108" s="394"/>
      <c r="V108" s="394"/>
      <c r="W108" s="394"/>
      <c r="X108" s="403"/>
      <c r="Y108" s="394"/>
      <c r="Z108" s="394"/>
      <c r="AA108" s="394"/>
      <c r="AB108" s="403"/>
      <c r="AC108" s="394"/>
      <c r="AD108" s="394"/>
      <c r="AF108" s="120"/>
      <c r="AG108" s="120"/>
      <c r="AK108" s="403"/>
    </row>
    <row r="109" spans="4:37" x14ac:dyDescent="0.25">
      <c r="D109" s="403"/>
      <c r="E109" s="394"/>
      <c r="F109" s="394"/>
      <c r="G109" s="394"/>
      <c r="H109" s="403"/>
      <c r="I109" s="394"/>
      <c r="J109" s="394"/>
      <c r="K109" s="394"/>
      <c r="L109" s="403"/>
      <c r="M109" s="394"/>
      <c r="N109" s="394"/>
      <c r="O109" s="394"/>
      <c r="P109" s="403"/>
      <c r="Q109" s="394"/>
      <c r="R109" s="394"/>
      <c r="S109" s="394"/>
      <c r="T109" s="403"/>
      <c r="U109" s="394"/>
      <c r="V109" s="394"/>
      <c r="W109" s="394"/>
      <c r="X109" s="403"/>
      <c r="Y109" s="394"/>
      <c r="Z109" s="394"/>
      <c r="AA109" s="394"/>
      <c r="AB109" s="403"/>
      <c r="AC109" s="394"/>
      <c r="AD109" s="394"/>
      <c r="AF109" s="120"/>
      <c r="AG109" s="120"/>
      <c r="AK109" s="403"/>
    </row>
    <row r="110" spans="4:37" x14ac:dyDescent="0.25">
      <c r="D110" s="403"/>
      <c r="E110" s="394"/>
      <c r="F110" s="394"/>
      <c r="G110" s="394"/>
      <c r="H110" s="403"/>
      <c r="I110" s="394"/>
      <c r="J110" s="394"/>
      <c r="K110" s="394"/>
      <c r="L110" s="403"/>
      <c r="M110" s="394"/>
      <c r="N110" s="394"/>
      <c r="O110" s="394"/>
      <c r="P110" s="403"/>
      <c r="Q110" s="394"/>
      <c r="R110" s="394"/>
      <c r="S110" s="394"/>
      <c r="T110" s="403"/>
      <c r="U110" s="394"/>
      <c r="V110" s="394"/>
      <c r="W110" s="394"/>
      <c r="X110" s="403"/>
      <c r="Y110" s="394"/>
      <c r="Z110" s="394"/>
      <c r="AA110" s="394"/>
      <c r="AB110" s="403"/>
      <c r="AC110" s="394"/>
      <c r="AD110" s="394"/>
      <c r="AF110" s="120"/>
      <c r="AG110" s="120"/>
      <c r="AK110" s="403"/>
    </row>
    <row r="111" spans="4:37" x14ac:dyDescent="0.25">
      <c r="D111" s="403"/>
      <c r="E111" s="394"/>
      <c r="F111" s="394"/>
      <c r="G111" s="394"/>
      <c r="H111" s="403"/>
      <c r="I111" s="394"/>
      <c r="J111" s="394"/>
      <c r="K111" s="394"/>
      <c r="L111" s="403"/>
      <c r="M111" s="394"/>
      <c r="N111" s="394"/>
      <c r="O111" s="394"/>
      <c r="P111" s="403"/>
      <c r="Q111" s="394"/>
      <c r="R111" s="394"/>
      <c r="S111" s="394"/>
      <c r="T111" s="403"/>
      <c r="U111" s="394"/>
      <c r="V111" s="394"/>
      <c r="W111" s="394"/>
      <c r="X111" s="403"/>
      <c r="Y111" s="394"/>
      <c r="Z111" s="394"/>
      <c r="AA111" s="394"/>
      <c r="AB111" s="403"/>
      <c r="AC111" s="394"/>
      <c r="AD111" s="394"/>
      <c r="AF111" s="120"/>
      <c r="AG111" s="120"/>
      <c r="AK111" s="403"/>
    </row>
    <row r="112" spans="4:37" x14ac:dyDescent="0.25">
      <c r="D112" s="403"/>
      <c r="E112" s="394"/>
      <c r="F112" s="394"/>
      <c r="G112" s="394"/>
      <c r="H112" s="403"/>
      <c r="I112" s="394"/>
      <c r="J112" s="394"/>
      <c r="K112" s="394"/>
      <c r="L112" s="403"/>
      <c r="M112" s="394"/>
      <c r="N112" s="394"/>
      <c r="O112" s="394"/>
      <c r="P112" s="403"/>
      <c r="Q112" s="394"/>
      <c r="R112" s="394"/>
      <c r="S112" s="394"/>
      <c r="T112" s="403"/>
      <c r="U112" s="394"/>
      <c r="V112" s="394"/>
      <c r="W112" s="394"/>
      <c r="X112" s="403"/>
      <c r="Y112" s="394"/>
      <c r="Z112" s="394"/>
      <c r="AA112" s="394"/>
      <c r="AB112" s="403"/>
      <c r="AC112" s="394"/>
      <c r="AD112" s="394"/>
      <c r="AF112" s="120"/>
      <c r="AG112" s="120"/>
      <c r="AK112" s="403"/>
    </row>
    <row r="113" spans="4:37" x14ac:dyDescent="0.25">
      <c r="D113" s="403"/>
      <c r="E113" s="394"/>
      <c r="F113" s="394"/>
      <c r="G113" s="394"/>
      <c r="H113" s="403"/>
      <c r="I113" s="394"/>
      <c r="J113" s="394"/>
      <c r="K113" s="394"/>
      <c r="L113" s="403"/>
      <c r="M113" s="394"/>
      <c r="N113" s="394"/>
      <c r="O113" s="394"/>
      <c r="P113" s="403"/>
      <c r="Q113" s="394"/>
      <c r="R113" s="394"/>
      <c r="S113" s="394"/>
      <c r="T113" s="403"/>
      <c r="U113" s="394"/>
      <c r="V113" s="394"/>
      <c r="W113" s="394"/>
      <c r="X113" s="403"/>
      <c r="Y113" s="394"/>
      <c r="Z113" s="394"/>
      <c r="AA113" s="394"/>
      <c r="AB113" s="403"/>
      <c r="AC113" s="394"/>
      <c r="AD113" s="394"/>
      <c r="AF113" s="120"/>
      <c r="AG113" s="120"/>
      <c r="AK113" s="403"/>
    </row>
    <row r="114" spans="4:37" x14ac:dyDescent="0.25">
      <c r="D114" s="403"/>
      <c r="E114" s="394"/>
      <c r="F114" s="394"/>
      <c r="G114" s="394"/>
      <c r="H114" s="403"/>
      <c r="I114" s="394"/>
      <c r="J114" s="394"/>
      <c r="K114" s="394"/>
      <c r="L114" s="403"/>
      <c r="M114" s="394"/>
      <c r="N114" s="394"/>
      <c r="O114" s="394"/>
      <c r="P114" s="403"/>
      <c r="Q114" s="394"/>
      <c r="R114" s="394"/>
      <c r="S114" s="394"/>
      <c r="T114" s="403"/>
      <c r="U114" s="394"/>
      <c r="V114" s="394"/>
      <c r="W114" s="394"/>
      <c r="X114" s="403"/>
      <c r="Y114" s="394"/>
      <c r="Z114" s="394"/>
      <c r="AA114" s="394"/>
      <c r="AB114" s="403"/>
      <c r="AC114" s="394"/>
      <c r="AD114" s="394"/>
      <c r="AF114" s="120"/>
      <c r="AG114" s="120"/>
      <c r="AK114" s="403"/>
    </row>
    <row r="115" spans="4:37" x14ac:dyDescent="0.25">
      <c r="D115" s="403"/>
      <c r="E115" s="394"/>
      <c r="F115" s="394"/>
      <c r="G115" s="394"/>
      <c r="H115" s="403"/>
      <c r="I115" s="394"/>
      <c r="J115" s="394"/>
      <c r="K115" s="394"/>
      <c r="L115" s="403"/>
      <c r="M115" s="394"/>
      <c r="N115" s="394"/>
      <c r="O115" s="394"/>
      <c r="P115" s="403"/>
      <c r="Q115" s="394"/>
      <c r="R115" s="394"/>
      <c r="S115" s="394"/>
      <c r="T115" s="403"/>
      <c r="U115" s="394"/>
      <c r="V115" s="394"/>
      <c r="W115" s="394"/>
      <c r="X115" s="403"/>
      <c r="Y115" s="394"/>
      <c r="Z115" s="394"/>
      <c r="AA115" s="394"/>
      <c r="AB115" s="403"/>
      <c r="AC115" s="394"/>
      <c r="AD115" s="394"/>
      <c r="AF115" s="120"/>
      <c r="AG115" s="120"/>
      <c r="AK115" s="403"/>
    </row>
    <row r="116" spans="4:37" x14ac:dyDescent="0.25">
      <c r="D116" s="403"/>
      <c r="E116" s="394"/>
      <c r="F116" s="394"/>
      <c r="G116" s="394"/>
      <c r="H116" s="403"/>
      <c r="I116" s="394"/>
      <c r="J116" s="394"/>
      <c r="K116" s="394"/>
      <c r="L116" s="403"/>
      <c r="M116" s="394"/>
      <c r="N116" s="394"/>
      <c r="O116" s="394"/>
      <c r="P116" s="403"/>
      <c r="Q116" s="394"/>
      <c r="R116" s="394"/>
      <c r="S116" s="394"/>
      <c r="T116" s="403"/>
      <c r="U116" s="394"/>
      <c r="V116" s="394"/>
      <c r="W116" s="394"/>
      <c r="X116" s="403"/>
      <c r="Y116" s="394"/>
      <c r="Z116" s="394"/>
      <c r="AA116" s="394"/>
      <c r="AB116" s="403"/>
      <c r="AC116" s="394"/>
      <c r="AD116" s="394"/>
      <c r="AF116" s="120"/>
      <c r="AG116" s="120"/>
      <c r="AK116" s="403"/>
    </row>
    <row r="117" spans="4:37" x14ac:dyDescent="0.25">
      <c r="D117" s="403"/>
      <c r="E117" s="394"/>
      <c r="F117" s="394"/>
      <c r="G117" s="394"/>
      <c r="H117" s="403"/>
      <c r="I117" s="394"/>
      <c r="J117" s="394"/>
      <c r="K117" s="394"/>
      <c r="L117" s="403"/>
      <c r="M117" s="394"/>
      <c r="N117" s="394"/>
      <c r="O117" s="394"/>
      <c r="P117" s="403"/>
      <c r="Q117" s="394"/>
      <c r="R117" s="394"/>
      <c r="S117" s="394"/>
      <c r="T117" s="403"/>
      <c r="U117" s="394"/>
      <c r="V117" s="394"/>
      <c r="W117" s="394"/>
      <c r="X117" s="403"/>
      <c r="Y117" s="394"/>
      <c r="Z117" s="394"/>
      <c r="AA117" s="394"/>
      <c r="AB117" s="403"/>
      <c r="AC117" s="394"/>
      <c r="AD117" s="394"/>
      <c r="AF117" s="120"/>
      <c r="AG117" s="120"/>
      <c r="AK117" s="403"/>
    </row>
    <row r="118" spans="4:37" x14ac:dyDescent="0.25">
      <c r="D118" s="403"/>
      <c r="E118" s="394"/>
      <c r="F118" s="394"/>
      <c r="G118" s="394"/>
      <c r="H118" s="403"/>
      <c r="I118" s="394"/>
      <c r="J118" s="394"/>
      <c r="K118" s="394"/>
      <c r="L118" s="403"/>
      <c r="M118" s="394"/>
      <c r="N118" s="394"/>
      <c r="O118" s="394"/>
      <c r="P118" s="403"/>
      <c r="Q118" s="394"/>
      <c r="R118" s="394"/>
      <c r="S118" s="394"/>
      <c r="T118" s="403"/>
      <c r="U118" s="394"/>
      <c r="V118" s="394"/>
      <c r="W118" s="394"/>
      <c r="X118" s="403"/>
      <c r="Y118" s="394"/>
      <c r="Z118" s="394"/>
      <c r="AA118" s="394"/>
      <c r="AB118" s="403"/>
      <c r="AC118" s="394"/>
      <c r="AD118" s="394"/>
      <c r="AF118" s="120"/>
      <c r="AG118" s="120"/>
      <c r="AK118" s="403"/>
    </row>
    <row r="119" spans="4:37" x14ac:dyDescent="0.25">
      <c r="D119" s="403"/>
      <c r="E119" s="394"/>
      <c r="F119" s="394"/>
      <c r="G119" s="394"/>
      <c r="H119" s="403"/>
      <c r="I119" s="394"/>
      <c r="J119" s="394"/>
      <c r="K119" s="394"/>
      <c r="L119" s="403"/>
      <c r="M119" s="394"/>
      <c r="N119" s="394"/>
      <c r="O119" s="394"/>
      <c r="P119" s="403"/>
      <c r="Q119" s="394"/>
      <c r="R119" s="394"/>
      <c r="S119" s="394"/>
      <c r="T119" s="403"/>
      <c r="U119" s="394"/>
      <c r="V119" s="394"/>
      <c r="W119" s="394"/>
      <c r="X119" s="403"/>
      <c r="Y119" s="394"/>
      <c r="Z119" s="394"/>
      <c r="AA119" s="394"/>
      <c r="AB119" s="403"/>
      <c r="AC119" s="394"/>
      <c r="AD119" s="394"/>
      <c r="AF119" s="120"/>
      <c r="AG119" s="120"/>
      <c r="AK119" s="403"/>
    </row>
    <row r="120" spans="4:37" x14ac:dyDescent="0.25">
      <c r="D120" s="403"/>
      <c r="E120" s="394"/>
      <c r="F120" s="394"/>
      <c r="G120" s="394"/>
      <c r="H120" s="403"/>
      <c r="I120" s="394"/>
      <c r="J120" s="394"/>
      <c r="K120" s="394"/>
      <c r="L120" s="403"/>
      <c r="M120" s="394"/>
      <c r="N120" s="394"/>
      <c r="O120" s="394"/>
      <c r="P120" s="403"/>
      <c r="Q120" s="394"/>
      <c r="R120" s="394"/>
      <c r="S120" s="394"/>
      <c r="T120" s="403"/>
      <c r="U120" s="394"/>
      <c r="V120" s="394"/>
      <c r="W120" s="394"/>
      <c r="X120" s="403"/>
      <c r="Y120" s="394"/>
      <c r="Z120" s="394"/>
      <c r="AA120" s="394"/>
      <c r="AB120" s="403"/>
      <c r="AC120" s="394"/>
      <c r="AD120" s="394"/>
      <c r="AF120" s="120"/>
      <c r="AG120" s="120"/>
      <c r="AK120" s="403"/>
    </row>
    <row r="121" spans="4:37" x14ac:dyDescent="0.25">
      <c r="D121" s="403"/>
      <c r="E121" s="394"/>
      <c r="F121" s="394"/>
      <c r="G121" s="394"/>
      <c r="H121" s="403"/>
      <c r="I121" s="394"/>
      <c r="J121" s="394"/>
      <c r="K121" s="394"/>
      <c r="L121" s="403"/>
      <c r="M121" s="394"/>
      <c r="N121" s="394"/>
      <c r="O121" s="394"/>
      <c r="P121" s="403"/>
      <c r="Q121" s="394"/>
      <c r="R121" s="394"/>
      <c r="S121" s="394"/>
      <c r="T121" s="403"/>
      <c r="U121" s="394"/>
      <c r="V121" s="394"/>
      <c r="W121" s="394"/>
      <c r="X121" s="403"/>
      <c r="Y121" s="394"/>
      <c r="Z121" s="394"/>
      <c r="AA121" s="394"/>
      <c r="AB121" s="403"/>
      <c r="AC121" s="394"/>
      <c r="AD121" s="394"/>
      <c r="AF121" s="120"/>
      <c r="AG121" s="120"/>
      <c r="AK121" s="403"/>
    </row>
    <row r="122" spans="4:37" x14ac:dyDescent="0.25">
      <c r="D122" s="403" t="s">
        <v>1511</v>
      </c>
      <c r="E122" s="394">
        <v>30.35</v>
      </c>
      <c r="F122" s="394">
        <v>25</v>
      </c>
      <c r="G122" s="394"/>
      <c r="H122" s="403"/>
      <c r="I122" s="394"/>
      <c r="J122" s="394"/>
      <c r="K122" s="394"/>
      <c r="L122" s="403"/>
      <c r="M122" s="394"/>
      <c r="N122" s="394"/>
      <c r="O122" s="394"/>
      <c r="P122" s="403"/>
      <c r="Q122" s="394"/>
      <c r="R122" s="394"/>
      <c r="S122" s="394"/>
      <c r="T122" s="403"/>
      <c r="U122" s="394"/>
      <c r="V122" s="394"/>
      <c r="W122" s="394"/>
      <c r="X122" s="403"/>
      <c r="Y122" s="394"/>
      <c r="Z122" s="394"/>
      <c r="AA122" s="394"/>
      <c r="AB122" s="403"/>
      <c r="AC122" s="394"/>
      <c r="AD122" s="394"/>
      <c r="AF122" s="120"/>
      <c r="AG122" s="120"/>
      <c r="AK122" s="403"/>
    </row>
    <row r="123" spans="4:37" x14ac:dyDescent="0.25">
      <c r="D123" s="403"/>
      <c r="E123" s="394"/>
      <c r="F123" s="394"/>
      <c r="G123" s="394"/>
      <c r="H123" s="403"/>
      <c r="I123" s="394"/>
      <c r="J123" s="394"/>
      <c r="K123" s="394"/>
      <c r="L123" s="403"/>
      <c r="M123" s="394"/>
      <c r="N123" s="394"/>
      <c r="O123" s="394"/>
      <c r="P123" s="403"/>
      <c r="Q123" s="394"/>
      <c r="R123" s="394"/>
      <c r="S123" s="394"/>
      <c r="T123" s="403"/>
      <c r="U123" s="394"/>
      <c r="V123" s="394"/>
      <c r="W123" s="394"/>
      <c r="X123" s="403"/>
      <c r="Y123" s="394"/>
      <c r="Z123" s="394"/>
      <c r="AA123" s="394"/>
      <c r="AB123" s="403"/>
      <c r="AC123" s="394"/>
      <c r="AD123" s="394"/>
      <c r="AF123" s="120"/>
      <c r="AG123" s="120"/>
      <c r="AK123" s="403"/>
    </row>
    <row r="124" spans="4:37" x14ac:dyDescent="0.25">
      <c r="D124" s="403"/>
      <c r="E124" s="394"/>
      <c r="F124" s="394"/>
      <c r="G124" s="394"/>
      <c r="H124" s="403"/>
      <c r="I124" s="394"/>
      <c r="J124" s="394"/>
      <c r="K124" s="394"/>
      <c r="L124" s="403"/>
      <c r="M124" s="394"/>
      <c r="N124" s="394"/>
      <c r="O124" s="394"/>
      <c r="P124" s="403"/>
      <c r="Q124" s="394"/>
      <c r="R124" s="394"/>
      <c r="S124" s="394"/>
      <c r="T124" s="403"/>
      <c r="U124" s="394"/>
      <c r="V124" s="394"/>
      <c r="W124" s="394"/>
      <c r="X124" s="403"/>
      <c r="Y124" s="394"/>
      <c r="Z124" s="394"/>
      <c r="AA124" s="394"/>
      <c r="AB124" s="403"/>
      <c r="AC124" s="394"/>
      <c r="AD124" s="394"/>
      <c r="AF124" s="120"/>
      <c r="AG124" s="120"/>
      <c r="AK124" s="403"/>
    </row>
    <row r="125" spans="4:37" x14ac:dyDescent="0.25">
      <c r="D125" s="403"/>
      <c r="E125" s="394"/>
      <c r="F125" s="394"/>
      <c r="G125" s="394"/>
      <c r="H125" s="403"/>
      <c r="I125" s="394"/>
      <c r="J125" s="394"/>
      <c r="K125" s="394"/>
      <c r="L125" s="403"/>
      <c r="M125" s="394"/>
      <c r="N125" s="394"/>
      <c r="O125" s="394"/>
      <c r="P125" s="403"/>
      <c r="Q125" s="394"/>
      <c r="R125" s="394"/>
      <c r="S125" s="394"/>
      <c r="T125" s="403"/>
      <c r="U125" s="394"/>
      <c r="V125" s="394"/>
      <c r="W125" s="394"/>
      <c r="X125" s="403"/>
      <c r="Y125" s="394"/>
      <c r="Z125" s="394"/>
      <c r="AA125" s="394"/>
      <c r="AB125" s="403"/>
      <c r="AC125" s="394"/>
      <c r="AD125" s="394"/>
      <c r="AF125" s="120"/>
      <c r="AG125" s="120"/>
      <c r="AK125" s="403"/>
    </row>
    <row r="126" spans="4:37" x14ac:dyDescent="0.25">
      <c r="D126" s="403"/>
      <c r="E126" s="394"/>
      <c r="F126" s="394"/>
      <c r="G126" s="394"/>
      <c r="H126" s="403"/>
      <c r="I126" s="394"/>
      <c r="J126" s="394"/>
      <c r="K126" s="394"/>
      <c r="L126" s="403"/>
      <c r="M126" s="394"/>
      <c r="N126" s="394"/>
      <c r="O126" s="394"/>
      <c r="P126" s="403"/>
      <c r="Q126" s="394"/>
      <c r="R126" s="394"/>
      <c r="S126" s="394"/>
      <c r="T126" s="403"/>
      <c r="U126" s="394"/>
      <c r="V126" s="394"/>
      <c r="W126" s="394"/>
      <c r="X126" s="403"/>
      <c r="Y126" s="394"/>
      <c r="Z126" s="394"/>
      <c r="AA126" s="394"/>
      <c r="AB126" s="403"/>
      <c r="AC126" s="394"/>
      <c r="AD126" s="394"/>
      <c r="AF126" s="120"/>
      <c r="AG126" s="120"/>
      <c r="AK126" s="403"/>
    </row>
    <row r="127" spans="4:37" x14ac:dyDescent="0.25">
      <c r="D127" s="403"/>
      <c r="E127" s="394"/>
      <c r="F127" s="394"/>
      <c r="G127" s="394"/>
      <c r="H127" s="403"/>
      <c r="I127" s="394"/>
      <c r="J127" s="394"/>
      <c r="K127" s="394"/>
      <c r="L127" s="403"/>
      <c r="M127" s="394"/>
      <c r="N127" s="394"/>
      <c r="O127" s="394"/>
      <c r="P127" s="403"/>
      <c r="Q127" s="394"/>
      <c r="R127" s="394"/>
      <c r="S127" s="394"/>
      <c r="T127" s="403"/>
      <c r="U127" s="394"/>
      <c r="V127" s="394"/>
      <c r="W127" s="394"/>
      <c r="X127" s="403"/>
      <c r="Y127" s="394"/>
      <c r="Z127" s="394"/>
      <c r="AA127" s="394"/>
      <c r="AB127" s="403"/>
      <c r="AC127" s="394"/>
      <c r="AD127" s="394"/>
      <c r="AF127" s="120"/>
      <c r="AG127" s="120"/>
      <c r="AK127" s="403"/>
    </row>
    <row r="128" spans="4:37" x14ac:dyDescent="0.25">
      <c r="D128" s="403"/>
      <c r="E128" s="394"/>
      <c r="F128" s="394"/>
      <c r="G128" s="394"/>
      <c r="H128" s="403"/>
      <c r="I128" s="394"/>
      <c r="J128" s="394"/>
      <c r="K128" s="394"/>
      <c r="L128" s="403"/>
      <c r="M128" s="394"/>
      <c r="N128" s="394"/>
      <c r="O128" s="394"/>
      <c r="P128" s="403"/>
      <c r="Q128" s="394"/>
      <c r="R128" s="394"/>
      <c r="S128" s="394"/>
      <c r="T128" s="403"/>
      <c r="U128" s="394"/>
      <c r="V128" s="394"/>
      <c r="W128" s="394"/>
      <c r="X128" s="403"/>
      <c r="Y128" s="394"/>
      <c r="Z128" s="394"/>
      <c r="AA128" s="394"/>
      <c r="AB128" s="403"/>
      <c r="AC128" s="394"/>
      <c r="AD128" s="394"/>
      <c r="AF128" s="120"/>
      <c r="AG128" s="120"/>
      <c r="AK128" s="403"/>
    </row>
    <row r="129" spans="4:37" x14ac:dyDescent="0.25">
      <c r="D129" s="403"/>
      <c r="E129" s="394"/>
      <c r="F129" s="394"/>
      <c r="G129" s="394"/>
      <c r="H129" s="403"/>
      <c r="I129" s="394"/>
      <c r="J129" s="394"/>
      <c r="K129" s="394"/>
      <c r="L129" s="403"/>
      <c r="M129" s="394"/>
      <c r="N129" s="394"/>
      <c r="O129" s="394"/>
      <c r="P129" s="403"/>
      <c r="Q129" s="394"/>
      <c r="R129" s="394"/>
      <c r="S129" s="394"/>
      <c r="T129" s="403"/>
      <c r="U129" s="394"/>
      <c r="V129" s="394"/>
      <c r="W129" s="394"/>
      <c r="X129" s="403"/>
      <c r="Y129" s="394"/>
      <c r="Z129" s="394"/>
      <c r="AA129" s="394"/>
      <c r="AB129" s="403"/>
      <c r="AC129" s="394"/>
      <c r="AD129" s="394"/>
      <c r="AF129" s="120"/>
      <c r="AG129" s="120"/>
      <c r="AK129" s="403"/>
    </row>
    <row r="130" spans="4:37" x14ac:dyDescent="0.25">
      <c r="D130" s="403"/>
      <c r="E130" s="394"/>
      <c r="F130" s="394"/>
      <c r="G130" s="394"/>
      <c r="H130" s="403"/>
      <c r="I130" s="394"/>
      <c r="J130" s="394"/>
      <c r="K130" s="394"/>
      <c r="L130" s="403"/>
      <c r="M130" s="394"/>
      <c r="N130" s="394"/>
      <c r="O130" s="394"/>
      <c r="P130" s="403"/>
      <c r="Q130" s="394"/>
      <c r="R130" s="394"/>
      <c r="S130" s="394"/>
      <c r="T130" s="403"/>
      <c r="U130" s="394"/>
      <c r="V130" s="394"/>
      <c r="W130" s="394"/>
      <c r="X130" s="403"/>
      <c r="Y130" s="394"/>
      <c r="Z130" s="394"/>
      <c r="AA130" s="394"/>
      <c r="AB130" s="403"/>
      <c r="AC130" s="394"/>
      <c r="AD130" s="394"/>
      <c r="AF130" s="120"/>
      <c r="AG130" s="120"/>
      <c r="AK130" s="403"/>
    </row>
    <row r="131" spans="4:37" x14ac:dyDescent="0.25">
      <c r="D131" s="403"/>
      <c r="E131" s="394"/>
      <c r="F131" s="394"/>
      <c r="G131" s="394"/>
      <c r="H131" s="403"/>
      <c r="I131" s="394"/>
      <c r="J131" s="394"/>
      <c r="K131" s="394"/>
      <c r="L131" s="403"/>
      <c r="M131" s="394"/>
      <c r="N131" s="394"/>
      <c r="O131" s="394"/>
      <c r="P131" s="403"/>
      <c r="Q131" s="394"/>
      <c r="R131" s="394"/>
      <c r="S131" s="394"/>
      <c r="T131" s="403"/>
      <c r="U131" s="394"/>
      <c r="V131" s="394"/>
      <c r="W131" s="394"/>
      <c r="X131" s="403"/>
      <c r="Y131" s="394"/>
      <c r="Z131" s="394"/>
      <c r="AA131" s="394"/>
      <c r="AB131" s="403"/>
      <c r="AC131" s="394"/>
      <c r="AD131" s="394"/>
      <c r="AF131" s="120"/>
      <c r="AG131" s="120"/>
      <c r="AK131" s="403"/>
    </row>
    <row r="132" spans="4:37" x14ac:dyDescent="0.25">
      <c r="D132" s="403"/>
      <c r="E132" s="394"/>
      <c r="F132" s="394"/>
      <c r="G132" s="394"/>
      <c r="H132" s="403"/>
      <c r="I132" s="394"/>
      <c r="J132" s="394"/>
      <c r="K132" s="394"/>
      <c r="L132" s="403"/>
      <c r="M132" s="394"/>
      <c r="N132" s="394"/>
      <c r="O132" s="394"/>
      <c r="P132" s="403"/>
      <c r="Q132" s="394"/>
      <c r="R132" s="394"/>
      <c r="S132" s="394"/>
      <c r="T132" s="403"/>
      <c r="U132" s="394"/>
      <c r="V132" s="394"/>
      <c r="W132" s="394"/>
      <c r="X132" s="403"/>
      <c r="Y132" s="394"/>
      <c r="Z132" s="394"/>
      <c r="AA132" s="394"/>
      <c r="AB132" s="403"/>
      <c r="AC132" s="394"/>
      <c r="AD132" s="394"/>
      <c r="AF132" s="120"/>
      <c r="AG132" s="120"/>
      <c r="AK132" s="403"/>
    </row>
    <row r="133" spans="4:37" x14ac:dyDescent="0.25">
      <c r="D133" s="403"/>
      <c r="E133" s="394"/>
      <c r="F133" s="394"/>
      <c r="G133" s="394"/>
      <c r="H133" s="403"/>
      <c r="I133" s="394"/>
      <c r="J133" s="394"/>
      <c r="K133" s="394"/>
      <c r="L133" s="403"/>
      <c r="M133" s="394"/>
      <c r="N133" s="394"/>
      <c r="O133" s="394"/>
      <c r="P133" s="403"/>
      <c r="Q133" s="394"/>
      <c r="R133" s="394"/>
      <c r="S133" s="394"/>
      <c r="T133" s="403"/>
      <c r="U133" s="394"/>
      <c r="V133" s="394"/>
      <c r="W133" s="394"/>
      <c r="X133" s="403"/>
      <c r="Y133" s="394"/>
      <c r="Z133" s="394"/>
      <c r="AA133" s="394"/>
      <c r="AB133" s="403"/>
      <c r="AC133" s="394"/>
      <c r="AD133" s="394"/>
      <c r="AF133" s="120"/>
      <c r="AG133" s="120"/>
      <c r="AK133" s="403"/>
    </row>
    <row r="134" spans="4:37" x14ac:dyDescent="0.25">
      <c r="D134" s="403"/>
      <c r="E134" s="394"/>
      <c r="F134" s="394"/>
      <c r="G134" s="394"/>
      <c r="H134" s="403"/>
      <c r="I134" s="394"/>
      <c r="J134" s="394"/>
      <c r="K134" s="394"/>
      <c r="L134" s="403"/>
      <c r="M134" s="394"/>
      <c r="N134" s="394"/>
      <c r="O134" s="394"/>
      <c r="P134" s="403"/>
      <c r="Q134" s="394"/>
      <c r="R134" s="394"/>
      <c r="S134" s="394"/>
      <c r="T134" s="403"/>
      <c r="U134" s="394"/>
      <c r="V134" s="394"/>
      <c r="W134" s="394"/>
      <c r="X134" s="403"/>
      <c r="Y134" s="394"/>
      <c r="Z134" s="394"/>
      <c r="AA134" s="394"/>
      <c r="AB134" s="403"/>
      <c r="AC134" s="394"/>
      <c r="AD134" s="394"/>
      <c r="AF134" s="120"/>
      <c r="AG134" s="120"/>
      <c r="AK134" s="403"/>
    </row>
    <row r="135" spans="4:37" x14ac:dyDescent="0.25">
      <c r="D135" s="403"/>
      <c r="E135" s="394"/>
      <c r="F135" s="394"/>
      <c r="G135" s="394"/>
      <c r="H135" s="403"/>
      <c r="I135" s="394"/>
      <c r="J135" s="394"/>
      <c r="K135" s="394"/>
      <c r="L135" s="403"/>
      <c r="M135" s="394"/>
      <c r="N135" s="394"/>
      <c r="O135" s="394"/>
      <c r="P135" s="403"/>
      <c r="Q135" s="394"/>
      <c r="R135" s="394"/>
      <c r="S135" s="394"/>
      <c r="T135" s="403"/>
      <c r="U135" s="394"/>
      <c r="V135" s="394"/>
      <c r="W135" s="394"/>
      <c r="X135" s="403"/>
      <c r="Y135" s="394"/>
      <c r="Z135" s="394"/>
      <c r="AA135" s="394"/>
      <c r="AB135" s="403"/>
      <c r="AC135" s="394"/>
      <c r="AD135" s="394"/>
      <c r="AF135" s="120"/>
      <c r="AG135" s="120"/>
      <c r="AK135" s="403"/>
    </row>
    <row r="136" spans="4:37" x14ac:dyDescent="0.25">
      <c r="D136" s="403"/>
      <c r="E136" s="394"/>
      <c r="F136" s="394"/>
      <c r="G136" s="394"/>
      <c r="H136" s="403"/>
      <c r="I136" s="394"/>
      <c r="J136" s="394"/>
      <c r="K136" s="394"/>
      <c r="L136" s="403"/>
      <c r="M136" s="394"/>
      <c r="N136" s="394"/>
      <c r="O136" s="394"/>
      <c r="P136" s="403"/>
      <c r="Q136" s="394"/>
      <c r="R136" s="394"/>
      <c r="S136" s="394"/>
      <c r="T136" s="403"/>
      <c r="U136" s="394"/>
      <c r="V136" s="394"/>
      <c r="W136" s="394"/>
      <c r="X136" s="403"/>
      <c r="Y136" s="394"/>
      <c r="Z136" s="394"/>
      <c r="AA136" s="394"/>
      <c r="AB136" s="403"/>
      <c r="AC136" s="394"/>
      <c r="AD136" s="394"/>
      <c r="AF136" s="120"/>
      <c r="AG136" s="120"/>
      <c r="AK136" s="403"/>
    </row>
    <row r="137" spans="4:37" x14ac:dyDescent="0.25">
      <c r="D137" s="403"/>
      <c r="E137" s="394"/>
      <c r="F137" s="394"/>
      <c r="G137" s="394"/>
      <c r="H137" s="403"/>
      <c r="I137" s="394"/>
      <c r="J137" s="394"/>
      <c r="K137" s="394"/>
      <c r="L137" s="403"/>
      <c r="M137" s="394"/>
      <c r="N137" s="394"/>
      <c r="O137" s="394"/>
      <c r="P137" s="403"/>
      <c r="Q137" s="394"/>
      <c r="R137" s="394"/>
      <c r="S137" s="394"/>
      <c r="T137" s="403"/>
      <c r="U137" s="394"/>
      <c r="V137" s="394"/>
      <c r="W137" s="394"/>
      <c r="X137" s="403"/>
      <c r="Y137" s="394"/>
      <c r="Z137" s="394"/>
      <c r="AA137" s="394"/>
      <c r="AB137" s="403"/>
      <c r="AC137" s="394"/>
      <c r="AD137" s="394"/>
      <c r="AF137" s="120"/>
      <c r="AG137" s="120"/>
      <c r="AK137" s="403"/>
    </row>
    <row r="138" spans="4:37" x14ac:dyDescent="0.25">
      <c r="D138" s="403"/>
      <c r="E138" s="394"/>
      <c r="F138" s="394"/>
      <c r="G138" s="394"/>
      <c r="H138" s="403"/>
      <c r="I138" s="394"/>
      <c r="J138" s="394"/>
      <c r="K138" s="394"/>
      <c r="L138" s="403"/>
      <c r="M138" s="394"/>
      <c r="N138" s="394"/>
      <c r="O138" s="394"/>
      <c r="P138" s="403"/>
      <c r="Q138" s="394"/>
      <c r="R138" s="394"/>
      <c r="S138" s="394"/>
      <c r="T138" s="403"/>
      <c r="U138" s="394"/>
      <c r="V138" s="394"/>
      <c r="W138" s="394"/>
      <c r="X138" s="403"/>
      <c r="Y138" s="394"/>
      <c r="Z138" s="394"/>
      <c r="AA138" s="394"/>
      <c r="AB138" s="403"/>
      <c r="AC138" s="394"/>
      <c r="AD138" s="394"/>
      <c r="AF138" s="120"/>
      <c r="AG138" s="120"/>
      <c r="AK138" s="403"/>
    </row>
    <row r="139" spans="4:37" x14ac:dyDescent="0.25">
      <c r="D139" s="403"/>
      <c r="E139" s="394"/>
      <c r="F139" s="394"/>
      <c r="G139" s="394"/>
      <c r="H139" s="403"/>
      <c r="I139" s="394"/>
      <c r="J139" s="394"/>
      <c r="K139" s="394"/>
      <c r="L139" s="403"/>
      <c r="M139" s="394"/>
      <c r="N139" s="394"/>
      <c r="O139" s="394"/>
      <c r="P139" s="403"/>
      <c r="Q139" s="394"/>
      <c r="R139" s="394"/>
      <c r="S139" s="394"/>
      <c r="T139" s="403"/>
      <c r="U139" s="394"/>
      <c r="V139" s="394"/>
      <c r="W139" s="394"/>
      <c r="X139" s="403"/>
      <c r="Y139" s="394"/>
      <c r="Z139" s="394"/>
      <c r="AA139" s="394"/>
      <c r="AB139" s="403"/>
      <c r="AC139" s="394"/>
      <c r="AD139" s="394"/>
      <c r="AF139" s="120"/>
      <c r="AG139" s="120"/>
      <c r="AK139" s="403"/>
    </row>
    <row r="140" spans="4:37" x14ac:dyDescent="0.25">
      <c r="D140" s="403"/>
      <c r="E140" s="394"/>
      <c r="F140" s="394"/>
      <c r="G140" s="394"/>
      <c r="H140" s="403"/>
      <c r="I140" s="394"/>
      <c r="J140" s="394"/>
      <c r="K140" s="394"/>
      <c r="L140" s="403"/>
      <c r="M140" s="394"/>
      <c r="N140" s="394"/>
      <c r="O140" s="394"/>
      <c r="P140" s="403"/>
      <c r="Q140" s="394"/>
      <c r="R140" s="394"/>
      <c r="S140" s="394"/>
      <c r="T140" s="403"/>
      <c r="U140" s="394"/>
      <c r="V140" s="394"/>
      <c r="W140" s="394"/>
      <c r="X140" s="403"/>
      <c r="Y140" s="394"/>
      <c r="Z140" s="394"/>
      <c r="AA140" s="394"/>
      <c r="AB140" s="403"/>
      <c r="AC140" s="394"/>
      <c r="AD140" s="394"/>
      <c r="AF140" s="120"/>
      <c r="AG140" s="120"/>
      <c r="AK140" s="403"/>
    </row>
    <row r="141" spans="4:37" x14ac:dyDescent="0.25">
      <c r="D141" s="403"/>
      <c r="E141" s="394"/>
      <c r="F141" s="394"/>
      <c r="G141" s="394"/>
      <c r="H141" s="403"/>
      <c r="I141" s="394"/>
      <c r="J141" s="394"/>
      <c r="K141" s="394"/>
      <c r="L141" s="403"/>
      <c r="M141" s="394"/>
      <c r="N141" s="394"/>
      <c r="O141" s="394"/>
      <c r="P141" s="403"/>
      <c r="Q141" s="394"/>
      <c r="R141" s="394"/>
      <c r="S141" s="394"/>
      <c r="T141" s="403"/>
      <c r="U141" s="394"/>
      <c r="V141" s="394"/>
      <c r="W141" s="394"/>
      <c r="X141" s="403"/>
      <c r="Y141" s="394"/>
      <c r="Z141" s="394"/>
      <c r="AA141" s="394"/>
      <c r="AB141" s="403"/>
      <c r="AC141" s="394"/>
      <c r="AD141" s="394"/>
      <c r="AF141" s="120"/>
      <c r="AG141" s="120"/>
      <c r="AK141" s="403"/>
    </row>
    <row r="142" spans="4:37" x14ac:dyDescent="0.25">
      <c r="D142" s="403"/>
      <c r="E142" s="394"/>
      <c r="F142" s="394"/>
      <c r="G142" s="394"/>
      <c r="H142" s="403"/>
      <c r="I142" s="394"/>
      <c r="J142" s="394"/>
      <c r="K142" s="394"/>
      <c r="L142" s="403"/>
      <c r="M142" s="394"/>
      <c r="N142" s="394"/>
      <c r="O142" s="394"/>
      <c r="P142" s="403"/>
      <c r="Q142" s="394"/>
      <c r="R142" s="394"/>
      <c r="S142" s="394"/>
      <c r="T142" s="403"/>
      <c r="U142" s="394"/>
      <c r="V142" s="394"/>
      <c r="W142" s="394"/>
      <c r="X142" s="403"/>
      <c r="Y142" s="394"/>
      <c r="Z142" s="394"/>
      <c r="AA142" s="394"/>
      <c r="AB142" s="403"/>
      <c r="AC142" s="394"/>
      <c r="AD142" s="394"/>
      <c r="AF142" s="120"/>
      <c r="AG142" s="120"/>
      <c r="AK142" s="403"/>
    </row>
    <row r="143" spans="4:37" x14ac:dyDescent="0.25">
      <c r="D143" s="403"/>
      <c r="E143" s="394"/>
      <c r="F143" s="394"/>
      <c r="G143" s="394"/>
      <c r="H143" s="403"/>
      <c r="I143" s="394"/>
      <c r="J143" s="394"/>
      <c r="K143" s="394"/>
      <c r="L143" s="403"/>
      <c r="M143" s="394"/>
      <c r="N143" s="394"/>
      <c r="O143" s="394"/>
      <c r="P143" s="403"/>
      <c r="Q143" s="394"/>
      <c r="R143" s="394"/>
      <c r="S143" s="394"/>
      <c r="T143" s="403"/>
      <c r="U143" s="394"/>
      <c r="V143" s="394"/>
      <c r="W143" s="394"/>
      <c r="X143" s="403"/>
      <c r="Y143" s="394"/>
      <c r="Z143" s="394"/>
      <c r="AA143" s="394"/>
      <c r="AB143" s="403"/>
      <c r="AC143" s="394"/>
      <c r="AD143" s="394"/>
      <c r="AF143" s="120"/>
      <c r="AG143" s="120"/>
      <c r="AK143" s="403"/>
    </row>
    <row r="144" spans="4:37" x14ac:dyDescent="0.25">
      <c r="D144" s="403"/>
      <c r="E144" s="394"/>
      <c r="F144" s="394"/>
      <c r="G144" s="394"/>
      <c r="H144" s="403"/>
      <c r="I144" s="394"/>
      <c r="J144" s="394"/>
      <c r="K144" s="394"/>
      <c r="L144" s="403"/>
      <c r="M144" s="394"/>
      <c r="N144" s="394"/>
      <c r="O144" s="394"/>
      <c r="P144" s="403"/>
      <c r="Q144" s="394"/>
      <c r="R144" s="394"/>
      <c r="S144" s="394"/>
      <c r="T144" s="403"/>
      <c r="U144" s="394"/>
      <c r="V144" s="394"/>
      <c r="W144" s="394"/>
      <c r="X144" s="403"/>
      <c r="Y144" s="394"/>
      <c r="Z144" s="394"/>
      <c r="AA144" s="394"/>
      <c r="AB144" s="403"/>
      <c r="AC144" s="394"/>
      <c r="AD144" s="394"/>
      <c r="AF144" s="120"/>
      <c r="AG144" s="120"/>
      <c r="AK144" s="403"/>
    </row>
    <row r="145" spans="4:37" x14ac:dyDescent="0.25">
      <c r="D145" s="403"/>
      <c r="E145" s="394"/>
      <c r="F145" s="394"/>
      <c r="G145" s="394"/>
      <c r="H145" s="403"/>
      <c r="I145" s="394"/>
      <c r="J145" s="394"/>
      <c r="K145" s="394"/>
      <c r="L145" s="403"/>
      <c r="M145" s="394"/>
      <c r="N145" s="394"/>
      <c r="O145" s="394"/>
      <c r="P145" s="403"/>
      <c r="Q145" s="394"/>
      <c r="R145" s="394"/>
      <c r="S145" s="394"/>
      <c r="T145" s="403"/>
      <c r="U145" s="394"/>
      <c r="V145" s="394"/>
      <c r="W145" s="394"/>
      <c r="X145" s="403"/>
      <c r="Y145" s="394"/>
      <c r="Z145" s="394"/>
      <c r="AA145" s="394"/>
      <c r="AB145" s="403"/>
      <c r="AC145" s="394"/>
      <c r="AD145" s="394"/>
      <c r="AF145" s="120"/>
      <c r="AG145" s="120"/>
      <c r="AK145" s="403"/>
    </row>
    <row r="146" spans="4:37" x14ac:dyDescent="0.25">
      <c r="D146" s="403"/>
      <c r="E146" s="394"/>
      <c r="F146" s="394"/>
      <c r="G146" s="394"/>
      <c r="H146" s="403"/>
      <c r="I146" s="394"/>
      <c r="J146" s="394"/>
      <c r="K146" s="394"/>
      <c r="L146" s="403"/>
      <c r="M146" s="394"/>
      <c r="N146" s="394"/>
      <c r="O146" s="394"/>
      <c r="P146" s="403"/>
      <c r="Q146" s="394"/>
      <c r="R146" s="394"/>
      <c r="S146" s="394"/>
      <c r="T146" s="403"/>
      <c r="U146" s="394"/>
      <c r="V146" s="394"/>
      <c r="W146" s="394"/>
      <c r="X146" s="403"/>
      <c r="Y146" s="394"/>
      <c r="Z146" s="394"/>
      <c r="AA146" s="394"/>
      <c r="AB146" s="403"/>
      <c r="AC146" s="394"/>
      <c r="AD146" s="394"/>
      <c r="AF146" s="120"/>
      <c r="AG146" s="120"/>
      <c r="AK146" s="403"/>
    </row>
    <row r="147" spans="4:37" x14ac:dyDescent="0.25">
      <c r="D147" s="403"/>
      <c r="E147" s="394"/>
      <c r="F147" s="394"/>
      <c r="G147" s="394"/>
      <c r="H147" s="403"/>
      <c r="I147" s="394"/>
      <c r="J147" s="394"/>
      <c r="K147" s="394"/>
      <c r="L147" s="403"/>
      <c r="M147" s="394"/>
      <c r="N147" s="394"/>
      <c r="O147" s="394"/>
      <c r="P147" s="403"/>
      <c r="Q147" s="394"/>
      <c r="R147" s="394"/>
      <c r="S147" s="394"/>
      <c r="T147" s="403"/>
      <c r="U147" s="394"/>
      <c r="V147" s="394"/>
      <c r="W147" s="394"/>
      <c r="X147" s="403"/>
      <c r="Y147" s="394"/>
      <c r="Z147" s="394"/>
      <c r="AA147" s="394"/>
      <c r="AB147" s="403"/>
      <c r="AC147" s="394"/>
      <c r="AD147" s="394"/>
      <c r="AF147" s="120"/>
      <c r="AG147" s="120"/>
      <c r="AK147" s="403"/>
    </row>
    <row r="148" spans="4:37" x14ac:dyDescent="0.25">
      <c r="D148" s="403"/>
      <c r="E148" s="394"/>
      <c r="F148" s="394"/>
      <c r="G148" s="394"/>
      <c r="H148" s="403"/>
      <c r="I148" s="394"/>
      <c r="J148" s="394"/>
      <c r="K148" s="394"/>
      <c r="L148" s="403"/>
      <c r="M148" s="394"/>
      <c r="N148" s="394"/>
      <c r="O148" s="394"/>
      <c r="P148" s="403"/>
      <c r="Q148" s="394"/>
      <c r="R148" s="394"/>
      <c r="S148" s="394"/>
      <c r="T148" s="403"/>
      <c r="U148" s="394"/>
      <c r="V148" s="394"/>
      <c r="W148" s="394"/>
      <c r="X148" s="403"/>
      <c r="Y148" s="394"/>
      <c r="Z148" s="394"/>
      <c r="AA148" s="394"/>
      <c r="AB148" s="403"/>
      <c r="AC148" s="394"/>
      <c r="AD148" s="394"/>
      <c r="AF148" s="120"/>
      <c r="AG148" s="120"/>
      <c r="AK148" s="403"/>
    </row>
    <row r="149" spans="4:37" x14ac:dyDescent="0.25">
      <c r="D149" s="403"/>
      <c r="E149" s="394"/>
      <c r="F149" s="394"/>
      <c r="G149" s="394"/>
      <c r="H149" s="403"/>
      <c r="I149" s="394"/>
      <c r="J149" s="394"/>
      <c r="K149" s="394"/>
      <c r="L149" s="403"/>
      <c r="M149" s="394"/>
      <c r="N149" s="394"/>
      <c r="O149" s="394"/>
      <c r="P149" s="403"/>
      <c r="Q149" s="394"/>
      <c r="R149" s="394"/>
      <c r="S149" s="394"/>
      <c r="T149" s="403"/>
      <c r="U149" s="394"/>
      <c r="V149" s="394"/>
      <c r="W149" s="394"/>
      <c r="X149" s="403"/>
      <c r="Y149" s="394"/>
      <c r="Z149" s="394"/>
      <c r="AA149" s="394"/>
      <c r="AB149" s="403"/>
      <c r="AC149" s="394"/>
      <c r="AD149" s="394"/>
      <c r="AF149" s="120"/>
      <c r="AG149" s="120"/>
      <c r="AK149" s="403"/>
    </row>
    <row r="150" spans="4:37" x14ac:dyDescent="0.25">
      <c r="D150" s="403"/>
      <c r="E150" s="394"/>
      <c r="F150" s="394"/>
      <c r="G150" s="394"/>
      <c r="H150" s="403"/>
      <c r="I150" s="394"/>
      <c r="J150" s="394"/>
      <c r="K150" s="394"/>
      <c r="L150" s="403"/>
      <c r="M150" s="394"/>
      <c r="N150" s="394"/>
      <c r="O150" s="394"/>
      <c r="P150" s="403"/>
      <c r="Q150" s="394"/>
      <c r="R150" s="394"/>
      <c r="S150" s="394"/>
      <c r="T150" s="403"/>
      <c r="U150" s="394"/>
      <c r="V150" s="394"/>
      <c r="W150" s="394"/>
      <c r="X150" s="403"/>
      <c r="Y150" s="394"/>
      <c r="Z150" s="394"/>
      <c r="AA150" s="394"/>
      <c r="AB150" s="403"/>
      <c r="AC150" s="394"/>
      <c r="AD150" s="394"/>
      <c r="AF150" s="120"/>
      <c r="AG150" s="120"/>
      <c r="AK150" s="403"/>
    </row>
    <row r="151" spans="4:37" x14ac:dyDescent="0.25">
      <c r="D151" s="403"/>
      <c r="E151" s="394"/>
      <c r="F151" s="394"/>
      <c r="G151" s="394"/>
      <c r="H151" s="403"/>
      <c r="I151" s="394"/>
      <c r="J151" s="394"/>
      <c r="K151" s="394"/>
      <c r="L151" s="403"/>
      <c r="M151" s="394"/>
      <c r="N151" s="394"/>
      <c r="O151" s="394"/>
      <c r="P151" s="403"/>
      <c r="Q151" s="394"/>
      <c r="R151" s="394"/>
      <c r="S151" s="394"/>
      <c r="T151" s="403"/>
      <c r="U151" s="394"/>
      <c r="V151" s="394"/>
      <c r="W151" s="394"/>
      <c r="X151" s="403"/>
      <c r="Y151" s="394"/>
      <c r="Z151" s="394"/>
      <c r="AA151" s="394"/>
      <c r="AB151" s="403"/>
      <c r="AC151" s="394"/>
      <c r="AD151" s="394"/>
      <c r="AF151" s="120"/>
      <c r="AG151" s="120"/>
      <c r="AK151" s="403"/>
    </row>
    <row r="152" spans="4:37" x14ac:dyDescent="0.25">
      <c r="D152" s="403"/>
      <c r="E152" s="394"/>
      <c r="F152" s="394"/>
      <c r="G152" s="394"/>
      <c r="H152" s="403"/>
      <c r="I152" s="394"/>
      <c r="J152" s="394"/>
      <c r="K152" s="394"/>
      <c r="L152" s="403"/>
      <c r="M152" s="394"/>
      <c r="N152" s="394"/>
      <c r="O152" s="394"/>
      <c r="P152" s="403"/>
      <c r="Q152" s="394"/>
      <c r="R152" s="394"/>
      <c r="S152" s="394"/>
      <c r="T152" s="403"/>
      <c r="U152" s="394"/>
      <c r="V152" s="394"/>
      <c r="W152" s="394"/>
      <c r="X152" s="403"/>
      <c r="Y152" s="394"/>
      <c r="Z152" s="394"/>
      <c r="AA152" s="394"/>
      <c r="AB152" s="403"/>
      <c r="AC152" s="394"/>
      <c r="AD152" s="394"/>
      <c r="AF152" s="120"/>
      <c r="AG152" s="120"/>
      <c r="AK152" s="403"/>
    </row>
    <row r="153" spans="4:37" x14ac:dyDescent="0.25">
      <c r="D153" s="403"/>
      <c r="E153" s="394"/>
      <c r="F153" s="394"/>
      <c r="G153" s="394"/>
      <c r="H153" s="403"/>
      <c r="I153" s="394"/>
      <c r="J153" s="394"/>
      <c r="K153" s="394"/>
      <c r="L153" s="403"/>
      <c r="M153" s="394"/>
      <c r="N153" s="394"/>
      <c r="O153" s="394"/>
      <c r="P153" s="403"/>
      <c r="Q153" s="394"/>
      <c r="R153" s="394"/>
      <c r="S153" s="394"/>
      <c r="T153" s="403"/>
      <c r="U153" s="394"/>
      <c r="V153" s="394"/>
      <c r="W153" s="394"/>
      <c r="X153" s="403"/>
      <c r="Y153" s="394"/>
      <c r="Z153" s="394"/>
      <c r="AA153" s="394"/>
      <c r="AB153" s="403"/>
      <c r="AC153" s="394"/>
      <c r="AD153" s="394"/>
      <c r="AF153" s="120"/>
      <c r="AG153" s="120"/>
      <c r="AK153" s="403"/>
    </row>
    <row r="154" spans="4:37" x14ac:dyDescent="0.25">
      <c r="D154" s="403"/>
      <c r="E154" s="394"/>
      <c r="F154" s="394"/>
      <c r="G154" s="394"/>
      <c r="H154" s="403"/>
      <c r="I154" s="394"/>
      <c r="J154" s="394"/>
      <c r="K154" s="394"/>
      <c r="L154" s="403"/>
      <c r="M154" s="394"/>
      <c r="N154" s="394"/>
      <c r="O154" s="394"/>
      <c r="P154" s="403"/>
      <c r="Q154" s="394"/>
      <c r="R154" s="394"/>
      <c r="S154" s="394"/>
      <c r="T154" s="403"/>
      <c r="U154" s="394"/>
      <c r="V154" s="394"/>
      <c r="W154" s="394"/>
      <c r="X154" s="403"/>
      <c r="Y154" s="394"/>
      <c r="Z154" s="394"/>
      <c r="AA154" s="394"/>
      <c r="AB154" s="403"/>
      <c r="AC154" s="394"/>
      <c r="AD154" s="394"/>
      <c r="AF154" s="120"/>
      <c r="AG154" s="120"/>
      <c r="AK154" s="403"/>
    </row>
    <row r="155" spans="4:37" x14ac:dyDescent="0.25">
      <c r="D155" s="403"/>
      <c r="E155" s="394"/>
      <c r="F155" s="394"/>
      <c r="G155" s="394"/>
      <c r="H155" s="403"/>
      <c r="I155" s="394"/>
      <c r="J155" s="394"/>
      <c r="K155" s="394"/>
      <c r="L155" s="403"/>
      <c r="M155" s="394"/>
      <c r="N155" s="394"/>
      <c r="O155" s="394"/>
      <c r="P155" s="403"/>
      <c r="Q155" s="394"/>
      <c r="R155" s="394"/>
      <c r="S155" s="394"/>
      <c r="T155" s="403"/>
      <c r="U155" s="394"/>
      <c r="V155" s="394"/>
      <c r="W155" s="394"/>
      <c r="X155" s="403"/>
      <c r="Y155" s="394"/>
      <c r="Z155" s="394"/>
      <c r="AA155" s="394"/>
      <c r="AB155" s="403"/>
      <c r="AC155" s="394"/>
      <c r="AD155" s="394"/>
      <c r="AF155" s="120"/>
      <c r="AG155" s="120"/>
      <c r="AK155" s="403"/>
    </row>
    <row r="156" spans="4:37" x14ac:dyDescent="0.25">
      <c r="D156" s="403"/>
      <c r="E156" s="394"/>
      <c r="F156" s="394"/>
      <c r="G156" s="394"/>
      <c r="H156" s="403"/>
      <c r="I156" s="394"/>
      <c r="J156" s="394"/>
      <c r="K156" s="394"/>
      <c r="L156" s="403"/>
      <c r="M156" s="394"/>
      <c r="N156" s="394"/>
      <c r="O156" s="394"/>
      <c r="P156" s="403"/>
      <c r="Q156" s="394"/>
      <c r="R156" s="394"/>
      <c r="S156" s="394"/>
      <c r="T156" s="403"/>
      <c r="U156" s="394"/>
      <c r="V156" s="394"/>
      <c r="W156" s="394"/>
      <c r="X156" s="403"/>
      <c r="Y156" s="394"/>
      <c r="Z156" s="394"/>
      <c r="AA156" s="394"/>
      <c r="AB156" s="403"/>
      <c r="AC156" s="394"/>
      <c r="AD156" s="394"/>
      <c r="AF156" s="120"/>
      <c r="AG156" s="120"/>
      <c r="AK156" s="403"/>
    </row>
    <row r="157" spans="4:37" x14ac:dyDescent="0.25">
      <c r="D157" s="403"/>
      <c r="E157" s="394"/>
      <c r="F157" s="394"/>
      <c r="G157" s="394"/>
      <c r="H157" s="403"/>
      <c r="I157" s="394"/>
      <c r="J157" s="394"/>
      <c r="K157" s="394"/>
      <c r="L157" s="403"/>
      <c r="M157" s="394"/>
      <c r="N157" s="394"/>
      <c r="O157" s="394"/>
      <c r="P157" s="403"/>
      <c r="Q157" s="394"/>
      <c r="R157" s="394"/>
      <c r="S157" s="394"/>
      <c r="T157" s="403"/>
      <c r="U157" s="394"/>
      <c r="V157" s="394"/>
      <c r="W157" s="394"/>
      <c r="X157" s="403"/>
      <c r="Y157" s="394"/>
      <c r="Z157" s="394"/>
      <c r="AA157" s="394"/>
      <c r="AB157" s="403"/>
      <c r="AC157" s="394"/>
      <c r="AD157" s="394"/>
      <c r="AF157" s="120"/>
      <c r="AG157" s="120"/>
      <c r="AK157" s="403"/>
    </row>
    <row r="158" spans="4:37" x14ac:dyDescent="0.25">
      <c r="D158" s="403"/>
      <c r="E158" s="394"/>
      <c r="F158" s="394"/>
      <c r="G158" s="394"/>
      <c r="H158" s="403"/>
      <c r="I158" s="394"/>
      <c r="J158" s="394"/>
      <c r="K158" s="394"/>
      <c r="L158" s="403"/>
      <c r="M158" s="394"/>
      <c r="N158" s="394"/>
      <c r="O158" s="394"/>
      <c r="P158" s="403"/>
      <c r="Q158" s="394"/>
      <c r="R158" s="394"/>
      <c r="S158" s="394"/>
      <c r="T158" s="403"/>
      <c r="U158" s="394"/>
      <c r="V158" s="394"/>
      <c r="W158" s="394"/>
      <c r="X158" s="403"/>
      <c r="Y158" s="394"/>
      <c r="Z158" s="394"/>
      <c r="AA158" s="394"/>
      <c r="AB158" s="403"/>
      <c r="AC158" s="394"/>
      <c r="AD158" s="394"/>
      <c r="AF158" s="120"/>
      <c r="AG158" s="120"/>
      <c r="AK158" s="403"/>
    </row>
    <row r="159" spans="4:37" x14ac:dyDescent="0.25">
      <c r="D159" s="403"/>
      <c r="E159" s="394"/>
      <c r="F159" s="394"/>
      <c r="G159" s="394"/>
      <c r="H159" s="403"/>
      <c r="I159" s="394"/>
      <c r="J159" s="394"/>
      <c r="K159" s="394"/>
      <c r="L159" s="403"/>
      <c r="M159" s="394"/>
      <c r="N159" s="394"/>
      <c r="O159" s="394"/>
      <c r="P159" s="403"/>
      <c r="Q159" s="394"/>
      <c r="R159" s="394"/>
      <c r="S159" s="394"/>
      <c r="T159" s="403"/>
      <c r="U159" s="394"/>
      <c r="V159" s="394"/>
      <c r="W159" s="394"/>
      <c r="X159" s="403"/>
      <c r="Y159" s="394"/>
      <c r="Z159" s="394"/>
      <c r="AA159" s="394"/>
      <c r="AB159" s="403"/>
      <c r="AC159" s="394"/>
      <c r="AD159" s="394"/>
      <c r="AF159" s="120"/>
      <c r="AG159" s="120"/>
      <c r="AK159" s="403"/>
    </row>
    <row r="160" spans="4:37" x14ac:dyDescent="0.25">
      <c r="D160" s="403"/>
      <c r="E160" s="394"/>
      <c r="F160" s="394"/>
      <c r="G160" s="394"/>
      <c r="H160" s="403"/>
      <c r="I160" s="394"/>
      <c r="J160" s="394"/>
      <c r="K160" s="394"/>
      <c r="L160" s="403"/>
      <c r="M160" s="394"/>
      <c r="N160" s="394"/>
      <c r="O160" s="394"/>
      <c r="P160" s="403"/>
      <c r="Q160" s="394"/>
      <c r="R160" s="394"/>
      <c r="S160" s="394"/>
      <c r="T160" s="403"/>
      <c r="U160" s="394"/>
      <c r="V160" s="394"/>
      <c r="W160" s="394"/>
      <c r="X160" s="403"/>
      <c r="Y160" s="394"/>
      <c r="Z160" s="394"/>
      <c r="AA160" s="394"/>
      <c r="AB160" s="403"/>
      <c r="AC160" s="394"/>
      <c r="AD160" s="394"/>
      <c r="AF160" s="120"/>
      <c r="AG160" s="120"/>
      <c r="AK160" s="403"/>
    </row>
    <row r="161" spans="4:37" x14ac:dyDescent="0.25">
      <c r="D161" s="403"/>
      <c r="E161" s="394"/>
      <c r="F161" s="394"/>
      <c r="G161" s="394"/>
      <c r="H161" s="403"/>
      <c r="I161" s="394"/>
      <c r="J161" s="394"/>
      <c r="K161" s="394"/>
      <c r="L161" s="403"/>
      <c r="M161" s="394"/>
      <c r="N161" s="394"/>
      <c r="O161" s="394"/>
      <c r="P161" s="403"/>
      <c r="Q161" s="394"/>
      <c r="R161" s="394"/>
      <c r="S161" s="394"/>
      <c r="T161" s="403"/>
      <c r="U161" s="394"/>
      <c r="V161" s="394"/>
      <c r="W161" s="394"/>
      <c r="X161" s="403"/>
      <c r="Y161" s="394"/>
      <c r="Z161" s="394"/>
      <c r="AA161" s="394"/>
      <c r="AB161" s="403"/>
      <c r="AC161" s="394"/>
      <c r="AD161" s="394"/>
      <c r="AF161" s="120"/>
      <c r="AG161" s="120"/>
      <c r="AK161" s="403"/>
    </row>
    <row r="162" spans="4:37" x14ac:dyDescent="0.25">
      <c r="D162" s="403"/>
      <c r="E162" s="394"/>
      <c r="F162" s="394"/>
      <c r="G162" s="394"/>
      <c r="H162" s="403"/>
      <c r="I162" s="394"/>
      <c r="J162" s="394"/>
      <c r="K162" s="394"/>
      <c r="L162" s="403"/>
      <c r="M162" s="394"/>
      <c r="N162" s="394"/>
      <c r="O162" s="394"/>
      <c r="P162" s="403"/>
      <c r="Q162" s="394"/>
      <c r="R162" s="394"/>
      <c r="S162" s="394"/>
      <c r="T162" s="403"/>
      <c r="U162" s="394"/>
      <c r="V162" s="394"/>
      <c r="W162" s="394"/>
      <c r="X162" s="403"/>
      <c r="Y162" s="394"/>
      <c r="Z162" s="394"/>
      <c r="AA162" s="394"/>
      <c r="AB162" s="403"/>
      <c r="AC162" s="394"/>
      <c r="AD162" s="394"/>
      <c r="AF162" s="120"/>
      <c r="AG162" s="120"/>
      <c r="AK162" s="403"/>
    </row>
    <row r="163" spans="4:37" x14ac:dyDescent="0.25">
      <c r="D163" s="403"/>
      <c r="E163" s="394"/>
      <c r="F163" s="394"/>
      <c r="G163" s="394"/>
      <c r="H163" s="403"/>
      <c r="I163" s="394"/>
      <c r="J163" s="394"/>
      <c r="K163" s="394"/>
      <c r="L163" s="403"/>
      <c r="M163" s="394"/>
      <c r="N163" s="394"/>
      <c r="O163" s="394"/>
      <c r="P163" s="403"/>
      <c r="Q163" s="394"/>
      <c r="R163" s="394"/>
      <c r="S163" s="394"/>
      <c r="T163" s="403"/>
      <c r="U163" s="394"/>
      <c r="V163" s="394"/>
      <c r="W163" s="394"/>
      <c r="X163" s="403"/>
      <c r="Y163" s="394"/>
      <c r="Z163" s="394"/>
      <c r="AA163" s="394"/>
      <c r="AB163" s="403"/>
      <c r="AC163" s="394"/>
      <c r="AD163" s="394"/>
      <c r="AF163" s="120"/>
      <c r="AG163" s="120"/>
      <c r="AK163" s="403"/>
    </row>
    <row r="164" spans="4:37" x14ac:dyDescent="0.25">
      <c r="D164" s="403"/>
      <c r="E164" s="394"/>
      <c r="F164" s="394"/>
      <c r="G164" s="394"/>
      <c r="H164" s="403"/>
      <c r="I164" s="394"/>
      <c r="J164" s="394"/>
      <c r="K164" s="394"/>
      <c r="L164" s="403"/>
      <c r="M164" s="394"/>
      <c r="N164" s="394"/>
      <c r="O164" s="394"/>
      <c r="P164" s="403"/>
      <c r="Q164" s="394"/>
      <c r="R164" s="394"/>
      <c r="S164" s="394"/>
      <c r="T164" s="403"/>
      <c r="U164" s="394"/>
      <c r="V164" s="394"/>
      <c r="W164" s="394"/>
      <c r="X164" s="403"/>
      <c r="Y164" s="394"/>
      <c r="Z164" s="394"/>
      <c r="AA164" s="394"/>
      <c r="AB164" s="403"/>
      <c r="AC164" s="394"/>
      <c r="AD164" s="394"/>
      <c r="AF164" s="120"/>
      <c r="AG164" s="120"/>
      <c r="AK164" s="403"/>
    </row>
    <row r="165" spans="4:37" x14ac:dyDescent="0.25">
      <c r="D165" s="403"/>
      <c r="E165" s="394"/>
      <c r="F165" s="394"/>
      <c r="G165" s="394"/>
      <c r="H165" s="403"/>
      <c r="I165" s="394"/>
      <c r="J165" s="394"/>
      <c r="K165" s="394"/>
      <c r="L165" s="403"/>
      <c r="M165" s="394"/>
      <c r="N165" s="394"/>
      <c r="O165" s="394"/>
      <c r="P165" s="403"/>
      <c r="Q165" s="394"/>
      <c r="R165" s="394"/>
      <c r="S165" s="394"/>
      <c r="T165" s="403"/>
      <c r="U165" s="394"/>
      <c r="V165" s="394"/>
      <c r="W165" s="394"/>
      <c r="X165" s="403"/>
      <c r="Y165" s="394"/>
      <c r="Z165" s="394"/>
      <c r="AA165" s="394"/>
      <c r="AB165" s="403"/>
      <c r="AC165" s="394"/>
      <c r="AD165" s="394"/>
      <c r="AF165" s="120"/>
      <c r="AG165" s="120"/>
      <c r="AK165" s="403"/>
    </row>
    <row r="166" spans="4:37" x14ac:dyDescent="0.25">
      <c r="D166" s="403"/>
      <c r="E166" s="394"/>
      <c r="F166" s="394"/>
      <c r="G166" s="394"/>
      <c r="H166" s="403"/>
      <c r="I166" s="394"/>
      <c r="J166" s="394"/>
      <c r="K166" s="394"/>
      <c r="L166" s="403"/>
      <c r="M166" s="394"/>
      <c r="N166" s="394"/>
      <c r="O166" s="394"/>
      <c r="P166" s="403"/>
      <c r="Q166" s="394"/>
      <c r="R166" s="394"/>
      <c r="S166" s="394"/>
      <c r="T166" s="403"/>
      <c r="U166" s="394"/>
      <c r="V166" s="394"/>
      <c r="W166" s="394"/>
      <c r="X166" s="403"/>
      <c r="Y166" s="394"/>
      <c r="Z166" s="394"/>
      <c r="AA166" s="394"/>
      <c r="AB166" s="403"/>
      <c r="AC166" s="394"/>
      <c r="AD166" s="394"/>
      <c r="AF166" s="120"/>
      <c r="AG166" s="120"/>
      <c r="AK166" s="403"/>
    </row>
    <row r="167" spans="4:37" x14ac:dyDescent="0.25">
      <c r="D167" s="403"/>
      <c r="E167" s="394"/>
      <c r="F167" s="394"/>
      <c r="G167" s="394"/>
      <c r="H167" s="403"/>
      <c r="I167" s="394"/>
      <c r="J167" s="394"/>
      <c r="K167" s="394"/>
      <c r="L167" s="403"/>
      <c r="M167" s="394"/>
      <c r="N167" s="394"/>
      <c r="O167" s="394"/>
      <c r="P167" s="403"/>
      <c r="Q167" s="394"/>
      <c r="R167" s="394"/>
      <c r="S167" s="394"/>
      <c r="T167" s="403"/>
      <c r="U167" s="394"/>
      <c r="V167" s="394"/>
      <c r="W167" s="394"/>
      <c r="X167" s="403"/>
      <c r="Y167" s="394"/>
      <c r="Z167" s="394"/>
      <c r="AA167" s="394"/>
      <c r="AB167" s="403"/>
      <c r="AC167" s="394"/>
      <c r="AD167" s="394"/>
      <c r="AF167" s="120"/>
      <c r="AG167" s="120"/>
      <c r="AK167" s="403"/>
    </row>
    <row r="168" spans="4:37" x14ac:dyDescent="0.25">
      <c r="D168" s="403"/>
      <c r="E168" s="394"/>
      <c r="F168" s="394"/>
      <c r="G168" s="394"/>
      <c r="H168" s="403"/>
      <c r="I168" s="394"/>
      <c r="J168" s="394"/>
      <c r="K168" s="394"/>
      <c r="L168" s="403"/>
      <c r="M168" s="394"/>
      <c r="N168" s="394"/>
      <c r="O168" s="394"/>
      <c r="P168" s="403"/>
      <c r="Q168" s="394"/>
      <c r="R168" s="394"/>
      <c r="S168" s="394"/>
      <c r="T168" s="403"/>
      <c r="U168" s="394"/>
      <c r="V168" s="394"/>
      <c r="W168" s="394"/>
      <c r="X168" s="403"/>
      <c r="Y168" s="394"/>
      <c r="Z168" s="394"/>
      <c r="AA168" s="394"/>
      <c r="AB168" s="403"/>
      <c r="AC168" s="394"/>
      <c r="AD168" s="394"/>
      <c r="AF168" s="120"/>
      <c r="AG168" s="120"/>
      <c r="AK168" s="403"/>
    </row>
    <row r="169" spans="4:37" x14ac:dyDescent="0.25">
      <c r="D169" s="403"/>
      <c r="E169" s="394"/>
      <c r="F169" s="394"/>
      <c r="G169" s="394"/>
      <c r="H169" s="403"/>
      <c r="I169" s="394"/>
      <c r="J169" s="394"/>
      <c r="K169" s="394"/>
      <c r="L169" s="403"/>
      <c r="M169" s="394"/>
      <c r="N169" s="394"/>
      <c r="O169" s="394"/>
      <c r="P169" s="403"/>
      <c r="Q169" s="394"/>
      <c r="R169" s="394"/>
      <c r="S169" s="394"/>
      <c r="T169" s="403"/>
      <c r="U169" s="394"/>
      <c r="V169" s="394"/>
      <c r="W169" s="394"/>
      <c r="X169" s="403"/>
      <c r="Y169" s="394"/>
      <c r="Z169" s="394"/>
      <c r="AA169" s="394"/>
      <c r="AB169" s="403"/>
      <c r="AC169" s="394"/>
      <c r="AD169" s="394"/>
      <c r="AF169" s="120"/>
      <c r="AG169" s="120"/>
      <c r="AK169" s="403"/>
    </row>
    <row r="170" spans="4:37" x14ac:dyDescent="0.25">
      <c r="D170" s="403"/>
      <c r="E170" s="394"/>
      <c r="F170" s="394"/>
      <c r="G170" s="394"/>
      <c r="H170" s="403"/>
      <c r="I170" s="394"/>
      <c r="J170" s="394"/>
      <c r="K170" s="394"/>
      <c r="L170" s="403"/>
      <c r="M170" s="394"/>
      <c r="N170" s="394"/>
      <c r="O170" s="394"/>
      <c r="P170" s="403"/>
      <c r="Q170" s="394"/>
      <c r="R170" s="394"/>
      <c r="S170" s="394"/>
      <c r="T170" s="403"/>
      <c r="U170" s="394"/>
      <c r="V170" s="394"/>
      <c r="W170" s="394"/>
      <c r="X170" s="403"/>
      <c r="Y170" s="394"/>
      <c r="Z170" s="394"/>
      <c r="AA170" s="394"/>
      <c r="AB170" s="403"/>
      <c r="AC170" s="394"/>
      <c r="AD170" s="394"/>
      <c r="AF170" s="120"/>
      <c r="AG170" s="120"/>
      <c r="AK170" s="403"/>
    </row>
    <row r="171" spans="4:37" x14ac:dyDescent="0.25">
      <c r="D171" s="403"/>
      <c r="E171" s="394"/>
      <c r="F171" s="394"/>
      <c r="G171" s="394"/>
      <c r="H171" s="403"/>
      <c r="I171" s="394"/>
      <c r="J171" s="394"/>
      <c r="K171" s="394"/>
      <c r="L171" s="403"/>
      <c r="M171" s="394"/>
      <c r="N171" s="394"/>
      <c r="O171" s="394"/>
      <c r="P171" s="403"/>
      <c r="Q171" s="394"/>
      <c r="R171" s="394"/>
      <c r="S171" s="394"/>
      <c r="T171" s="403"/>
      <c r="U171" s="394"/>
      <c r="V171" s="394"/>
      <c r="W171" s="394"/>
      <c r="X171" s="403"/>
      <c r="Y171" s="394"/>
      <c r="Z171" s="394"/>
      <c r="AA171" s="394"/>
      <c r="AB171" s="403"/>
      <c r="AC171" s="394"/>
      <c r="AD171" s="394"/>
      <c r="AF171" s="120"/>
      <c r="AG171" s="120"/>
      <c r="AK171" s="403"/>
    </row>
    <row r="172" spans="4:37" x14ac:dyDescent="0.25">
      <c r="D172" s="403"/>
      <c r="E172" s="394"/>
      <c r="F172" s="394"/>
      <c r="G172" s="394"/>
      <c r="H172" s="403"/>
      <c r="I172" s="394"/>
      <c r="J172" s="394"/>
      <c r="K172" s="394"/>
      <c r="L172" s="403"/>
      <c r="M172" s="394"/>
      <c r="N172" s="394"/>
      <c r="O172" s="394"/>
      <c r="P172" s="403"/>
      <c r="Q172" s="394"/>
      <c r="R172" s="394"/>
      <c r="S172" s="394"/>
      <c r="T172" s="403"/>
      <c r="U172" s="394"/>
      <c r="V172" s="394"/>
      <c r="W172" s="394"/>
      <c r="X172" s="403"/>
      <c r="Y172" s="394"/>
      <c r="Z172" s="394"/>
      <c r="AA172" s="394"/>
      <c r="AB172" s="403"/>
      <c r="AC172" s="394"/>
      <c r="AD172" s="394"/>
      <c r="AF172" s="120"/>
      <c r="AG172" s="120"/>
      <c r="AK172" s="403"/>
    </row>
    <row r="173" spans="4:37" x14ac:dyDescent="0.25">
      <c r="D173" s="403"/>
      <c r="E173" s="394"/>
      <c r="F173" s="394"/>
      <c r="G173" s="394"/>
      <c r="H173" s="403"/>
      <c r="I173" s="394"/>
      <c r="J173" s="394"/>
      <c r="K173" s="394"/>
      <c r="L173" s="403"/>
      <c r="M173" s="394"/>
      <c r="N173" s="394"/>
      <c r="O173" s="394"/>
      <c r="P173" s="403"/>
      <c r="Q173" s="394"/>
      <c r="R173" s="394"/>
      <c r="S173" s="394"/>
      <c r="T173" s="403"/>
      <c r="U173" s="394"/>
      <c r="V173" s="394"/>
      <c r="W173" s="394"/>
      <c r="X173" s="403"/>
      <c r="Y173" s="394"/>
      <c r="Z173" s="394"/>
      <c r="AA173" s="394"/>
      <c r="AB173" s="403"/>
      <c r="AC173" s="394"/>
      <c r="AD173" s="394"/>
      <c r="AF173" s="120"/>
      <c r="AG173" s="120"/>
      <c r="AK173" s="403"/>
    </row>
    <row r="174" spans="4:37" x14ac:dyDescent="0.25">
      <c r="D174" s="403"/>
      <c r="E174" s="394"/>
      <c r="F174" s="394"/>
      <c r="G174" s="394"/>
      <c r="H174" s="403"/>
      <c r="I174" s="394"/>
      <c r="J174" s="394"/>
      <c r="K174" s="394"/>
      <c r="L174" s="403"/>
      <c r="M174" s="394"/>
      <c r="N174" s="394"/>
      <c r="O174" s="394"/>
      <c r="P174" s="403"/>
      <c r="Q174" s="394"/>
      <c r="R174" s="394"/>
      <c r="S174" s="394"/>
      <c r="T174" s="403"/>
      <c r="U174" s="394"/>
      <c r="V174" s="394"/>
      <c r="W174" s="394"/>
      <c r="X174" s="403"/>
      <c r="Y174" s="394"/>
      <c r="Z174" s="394"/>
      <c r="AA174" s="394"/>
      <c r="AB174" s="403"/>
      <c r="AC174" s="394"/>
      <c r="AD174" s="394"/>
      <c r="AF174" s="120"/>
      <c r="AG174" s="120"/>
      <c r="AK174" s="403"/>
    </row>
    <row r="175" spans="4:37" x14ac:dyDescent="0.25">
      <c r="D175" s="403"/>
      <c r="E175" s="394"/>
      <c r="F175" s="394"/>
      <c r="G175" s="394"/>
      <c r="H175" s="403"/>
      <c r="I175" s="394"/>
      <c r="J175" s="394"/>
      <c r="K175" s="394"/>
      <c r="L175" s="403"/>
      <c r="M175" s="394"/>
      <c r="N175" s="394"/>
      <c r="O175" s="394"/>
      <c r="P175" s="403"/>
      <c r="Q175" s="394"/>
      <c r="R175" s="394"/>
      <c r="S175" s="394"/>
      <c r="T175" s="403"/>
      <c r="U175" s="394"/>
      <c r="V175" s="394"/>
      <c r="W175" s="394"/>
      <c r="X175" s="403"/>
      <c r="Y175" s="394"/>
      <c r="Z175" s="394"/>
      <c r="AA175" s="394"/>
      <c r="AB175" s="403"/>
      <c r="AC175" s="394"/>
      <c r="AD175" s="394"/>
      <c r="AF175" s="120"/>
      <c r="AG175" s="120"/>
      <c r="AK175" s="403"/>
    </row>
    <row r="176" spans="4:37" x14ac:dyDescent="0.25">
      <c r="D176" s="403"/>
      <c r="E176" s="394"/>
      <c r="F176" s="394"/>
      <c r="G176" s="394"/>
      <c r="H176" s="403"/>
      <c r="I176" s="394"/>
      <c r="J176" s="394"/>
      <c r="K176" s="394"/>
      <c r="L176" s="403"/>
      <c r="M176" s="394"/>
      <c r="N176" s="394"/>
      <c r="O176" s="394"/>
      <c r="P176" s="403"/>
      <c r="Q176" s="394"/>
      <c r="R176" s="394"/>
      <c r="S176" s="394"/>
      <c r="T176" s="403"/>
      <c r="U176" s="394"/>
      <c r="V176" s="394"/>
      <c r="W176" s="394"/>
      <c r="X176" s="403"/>
      <c r="Y176" s="394"/>
      <c r="Z176" s="394"/>
      <c r="AA176" s="394"/>
      <c r="AB176" s="403"/>
      <c r="AC176" s="394"/>
      <c r="AD176" s="394"/>
      <c r="AF176" s="120"/>
      <c r="AG176" s="120"/>
      <c r="AK176" s="403"/>
    </row>
    <row r="177" spans="4:37" x14ac:dyDescent="0.25">
      <c r="D177" s="403"/>
      <c r="E177" s="394"/>
      <c r="F177" s="394"/>
      <c r="G177" s="394"/>
      <c r="H177" s="403"/>
      <c r="I177" s="394"/>
      <c r="J177" s="394"/>
      <c r="K177" s="394"/>
      <c r="L177" s="403"/>
      <c r="M177" s="394"/>
      <c r="N177" s="394"/>
      <c r="O177" s="394"/>
      <c r="P177" s="403"/>
      <c r="Q177" s="394"/>
      <c r="R177" s="394"/>
      <c r="S177" s="394"/>
      <c r="T177" s="403"/>
      <c r="U177" s="394"/>
      <c r="V177" s="394"/>
      <c r="W177" s="394"/>
      <c r="X177" s="403"/>
      <c r="Y177" s="394"/>
      <c r="Z177" s="394"/>
      <c r="AA177" s="394"/>
      <c r="AB177" s="403"/>
      <c r="AC177" s="394"/>
      <c r="AD177" s="394"/>
      <c r="AF177" s="120"/>
      <c r="AG177" s="120"/>
      <c r="AK177" s="403"/>
    </row>
    <row r="178" spans="4:37" x14ac:dyDescent="0.25">
      <c r="D178" s="403"/>
      <c r="E178" s="394"/>
      <c r="F178" s="394"/>
      <c r="G178" s="394"/>
      <c r="H178" s="403"/>
      <c r="I178" s="394"/>
      <c r="J178" s="394"/>
      <c r="K178" s="394"/>
      <c r="L178" s="403"/>
      <c r="M178" s="394"/>
      <c r="N178" s="394"/>
      <c r="O178" s="394"/>
      <c r="P178" s="403"/>
      <c r="Q178" s="394"/>
      <c r="R178" s="394"/>
      <c r="S178" s="394"/>
      <c r="T178" s="403"/>
      <c r="U178" s="394"/>
      <c r="V178" s="394"/>
      <c r="W178" s="394"/>
      <c r="X178" s="403"/>
      <c r="Y178" s="394"/>
      <c r="Z178" s="394"/>
      <c r="AA178" s="394"/>
      <c r="AB178" s="403"/>
      <c r="AC178" s="394"/>
      <c r="AD178" s="394"/>
      <c r="AF178" s="120"/>
      <c r="AG178" s="120"/>
      <c r="AK178" s="403"/>
    </row>
    <row r="179" spans="4:37" x14ac:dyDescent="0.25">
      <c r="D179" s="403"/>
      <c r="E179" s="394"/>
      <c r="F179" s="394"/>
      <c r="G179" s="394"/>
      <c r="H179" s="403"/>
      <c r="I179" s="394"/>
      <c r="J179" s="394"/>
      <c r="K179" s="394"/>
      <c r="L179" s="403"/>
      <c r="M179" s="394"/>
      <c r="N179" s="394"/>
      <c r="O179" s="394"/>
      <c r="P179" s="403"/>
      <c r="Q179" s="394"/>
      <c r="R179" s="394"/>
      <c r="S179" s="394"/>
      <c r="T179" s="403"/>
      <c r="U179" s="394"/>
      <c r="V179" s="394"/>
      <c r="W179" s="394"/>
      <c r="X179" s="403"/>
      <c r="Y179" s="394"/>
      <c r="Z179" s="394"/>
      <c r="AA179" s="394"/>
      <c r="AB179" s="403"/>
      <c r="AC179" s="394"/>
      <c r="AD179" s="394"/>
      <c r="AF179" s="120"/>
      <c r="AG179" s="120"/>
      <c r="AK179" s="403"/>
    </row>
    <row r="180" spans="4:37" x14ac:dyDescent="0.25">
      <c r="D180" s="403"/>
      <c r="E180" s="394"/>
      <c r="F180" s="394"/>
      <c r="G180" s="394"/>
      <c r="H180" s="403"/>
      <c r="I180" s="394"/>
      <c r="J180" s="394"/>
      <c r="K180" s="394"/>
      <c r="L180" s="403"/>
      <c r="M180" s="394"/>
      <c r="N180" s="394"/>
      <c r="O180" s="394"/>
      <c r="P180" s="403"/>
      <c r="Q180" s="394"/>
      <c r="R180" s="394"/>
      <c r="S180" s="394"/>
      <c r="T180" s="403"/>
      <c r="U180" s="394"/>
      <c r="V180" s="394"/>
      <c r="W180" s="394"/>
      <c r="X180" s="403"/>
      <c r="Y180" s="394"/>
      <c r="Z180" s="394"/>
      <c r="AA180" s="394"/>
      <c r="AB180" s="403"/>
      <c r="AC180" s="394"/>
      <c r="AD180" s="394"/>
      <c r="AF180" s="120"/>
      <c r="AG180" s="120"/>
      <c r="AK180" s="403"/>
    </row>
    <row r="181" spans="4:37" x14ac:dyDescent="0.25">
      <c r="D181" s="403"/>
      <c r="E181" s="394"/>
      <c r="F181" s="394"/>
      <c r="G181" s="394"/>
      <c r="H181" s="403"/>
      <c r="I181" s="394"/>
      <c r="J181" s="394"/>
      <c r="K181" s="394"/>
      <c r="L181" s="403"/>
      <c r="M181" s="394"/>
      <c r="N181" s="394"/>
      <c r="O181" s="394"/>
      <c r="P181" s="403"/>
      <c r="Q181" s="394"/>
      <c r="R181" s="394"/>
      <c r="S181" s="394"/>
      <c r="T181" s="403"/>
      <c r="U181" s="394"/>
      <c r="V181" s="394"/>
      <c r="W181" s="394"/>
      <c r="X181" s="403"/>
      <c r="Y181" s="394"/>
      <c r="Z181" s="394"/>
      <c r="AA181" s="394"/>
      <c r="AB181" s="403"/>
      <c r="AC181" s="394"/>
      <c r="AD181" s="394"/>
      <c r="AF181" s="120"/>
      <c r="AG181" s="120"/>
      <c r="AK181" s="403"/>
    </row>
    <row r="182" spans="4:37" x14ac:dyDescent="0.25">
      <c r="D182" s="403"/>
      <c r="E182" s="394"/>
      <c r="F182" s="394"/>
      <c r="G182" s="394"/>
      <c r="H182" s="403"/>
      <c r="I182" s="394"/>
      <c r="J182" s="394"/>
      <c r="K182" s="394"/>
      <c r="L182" s="403"/>
      <c r="M182" s="394"/>
      <c r="N182" s="394"/>
      <c r="O182" s="394"/>
      <c r="P182" s="403"/>
      <c r="Q182" s="394"/>
      <c r="R182" s="394"/>
      <c r="S182" s="394"/>
      <c r="T182" s="403"/>
      <c r="U182" s="394"/>
      <c r="V182" s="394"/>
      <c r="W182" s="394"/>
      <c r="X182" s="403"/>
      <c r="Y182" s="394"/>
      <c r="Z182" s="394"/>
      <c r="AA182" s="394"/>
      <c r="AB182" s="403"/>
      <c r="AC182" s="394"/>
      <c r="AD182" s="394"/>
      <c r="AF182" s="120"/>
      <c r="AG182" s="120"/>
      <c r="AK182" s="403"/>
    </row>
    <row r="183" spans="4:37" x14ac:dyDescent="0.25">
      <c r="D183" s="403"/>
      <c r="E183" s="394"/>
      <c r="F183" s="394"/>
      <c r="G183" s="394"/>
      <c r="H183" s="403"/>
      <c r="I183" s="394"/>
      <c r="J183" s="394"/>
      <c r="K183" s="394"/>
      <c r="L183" s="403"/>
      <c r="M183" s="394"/>
      <c r="N183" s="394"/>
      <c r="O183" s="394"/>
      <c r="P183" s="403"/>
      <c r="Q183" s="394"/>
      <c r="R183" s="394"/>
      <c r="S183" s="394"/>
      <c r="T183" s="403"/>
      <c r="U183" s="394"/>
      <c r="V183" s="394"/>
      <c r="W183" s="394"/>
      <c r="X183" s="403"/>
      <c r="Y183" s="394"/>
      <c r="Z183" s="394"/>
      <c r="AA183" s="394"/>
      <c r="AB183" s="403"/>
      <c r="AC183" s="394"/>
      <c r="AD183" s="394"/>
      <c r="AF183" s="120"/>
      <c r="AG183" s="120"/>
      <c r="AK183" s="403"/>
    </row>
    <row r="184" spans="4:37" x14ac:dyDescent="0.25">
      <c r="D184" s="403"/>
      <c r="E184" s="394"/>
      <c r="F184" s="394"/>
      <c r="G184" s="394"/>
      <c r="H184" s="403"/>
      <c r="I184" s="394"/>
      <c r="J184" s="394"/>
      <c r="K184" s="394"/>
      <c r="L184" s="403"/>
      <c r="M184" s="394"/>
      <c r="N184" s="394"/>
      <c r="O184" s="394"/>
      <c r="P184" s="403"/>
      <c r="Q184" s="394"/>
      <c r="R184" s="394"/>
      <c r="S184" s="394"/>
      <c r="T184" s="403"/>
      <c r="U184" s="394"/>
      <c r="V184" s="394"/>
      <c r="W184" s="394"/>
      <c r="X184" s="403"/>
      <c r="Y184" s="394"/>
      <c r="Z184" s="394"/>
      <c r="AA184" s="394"/>
      <c r="AB184" s="403"/>
      <c r="AC184" s="394"/>
      <c r="AD184" s="394"/>
      <c r="AF184" s="120"/>
      <c r="AG184" s="120"/>
      <c r="AK184" s="403"/>
    </row>
    <row r="185" spans="4:37" x14ac:dyDescent="0.25">
      <c r="D185" s="403"/>
      <c r="E185" s="394"/>
      <c r="F185" s="394"/>
      <c r="G185" s="394"/>
      <c r="H185" s="403"/>
      <c r="I185" s="394"/>
      <c r="J185" s="394"/>
      <c r="K185" s="394"/>
      <c r="L185" s="403"/>
      <c r="M185" s="394"/>
      <c r="N185" s="394"/>
      <c r="O185" s="394"/>
      <c r="P185" s="403"/>
      <c r="Q185" s="394"/>
      <c r="R185" s="394"/>
      <c r="S185" s="394"/>
      <c r="T185" s="403"/>
      <c r="U185" s="394"/>
      <c r="V185" s="394"/>
      <c r="W185" s="394"/>
      <c r="X185" s="403"/>
      <c r="Y185" s="394"/>
      <c r="Z185" s="394"/>
      <c r="AA185" s="394"/>
      <c r="AB185" s="403"/>
      <c r="AC185" s="394"/>
      <c r="AD185" s="394"/>
      <c r="AF185" s="120"/>
      <c r="AG185" s="120"/>
      <c r="AK185" s="403"/>
    </row>
    <row r="186" spans="4:37" x14ac:dyDescent="0.25">
      <c r="D186" s="403"/>
      <c r="E186" s="394"/>
      <c r="F186" s="394"/>
      <c r="G186" s="394"/>
      <c r="H186" s="403"/>
      <c r="I186" s="394"/>
      <c r="J186" s="394"/>
      <c r="K186" s="394"/>
      <c r="L186" s="403"/>
      <c r="M186" s="394"/>
      <c r="N186" s="394"/>
      <c r="O186" s="394"/>
      <c r="P186" s="403"/>
      <c r="Q186" s="394"/>
      <c r="R186" s="394"/>
      <c r="S186" s="394"/>
      <c r="T186" s="403"/>
      <c r="U186" s="394"/>
      <c r="V186" s="394"/>
      <c r="W186" s="394"/>
      <c r="X186" s="403"/>
      <c r="Y186" s="394"/>
      <c r="Z186" s="394"/>
      <c r="AA186" s="394"/>
      <c r="AB186" s="403"/>
      <c r="AC186" s="394"/>
      <c r="AD186" s="394"/>
      <c r="AF186" s="120"/>
      <c r="AG186" s="120"/>
      <c r="AK186" s="403"/>
    </row>
    <row r="187" spans="4:37" x14ac:dyDescent="0.25">
      <c r="D187" s="403"/>
      <c r="E187" s="394"/>
      <c r="F187" s="394"/>
      <c r="G187" s="394"/>
      <c r="H187" s="403"/>
      <c r="I187" s="394"/>
      <c r="J187" s="394"/>
      <c r="K187" s="394"/>
      <c r="L187" s="403"/>
      <c r="M187" s="394"/>
      <c r="N187" s="394"/>
      <c r="O187" s="394"/>
      <c r="P187" s="403"/>
      <c r="Q187" s="394"/>
      <c r="R187" s="394"/>
      <c r="S187" s="394"/>
      <c r="T187" s="403"/>
      <c r="U187" s="394"/>
      <c r="V187" s="394"/>
      <c r="W187" s="394"/>
      <c r="X187" s="403"/>
      <c r="Y187" s="394"/>
      <c r="Z187" s="394"/>
      <c r="AA187" s="394"/>
      <c r="AB187" s="403"/>
      <c r="AC187" s="394"/>
      <c r="AD187" s="394"/>
      <c r="AF187" s="120"/>
      <c r="AG187" s="120"/>
      <c r="AK187" s="403"/>
    </row>
    <row r="188" spans="4:37" x14ac:dyDescent="0.25">
      <c r="D188" s="403"/>
      <c r="E188" s="394"/>
      <c r="F188" s="394"/>
      <c r="G188" s="394"/>
      <c r="H188" s="403"/>
      <c r="I188" s="394"/>
      <c r="J188" s="394"/>
      <c r="K188" s="394"/>
      <c r="L188" s="403"/>
      <c r="M188" s="394"/>
      <c r="N188" s="394"/>
      <c r="O188" s="394"/>
      <c r="P188" s="403"/>
      <c r="Q188" s="394"/>
      <c r="R188" s="394"/>
      <c r="S188" s="394"/>
      <c r="T188" s="403"/>
      <c r="U188" s="394"/>
      <c r="V188" s="394"/>
      <c r="W188" s="394"/>
      <c r="X188" s="403"/>
      <c r="Y188" s="394"/>
      <c r="Z188" s="394"/>
      <c r="AA188" s="394"/>
      <c r="AB188" s="403"/>
      <c r="AC188" s="394"/>
      <c r="AD188" s="394"/>
      <c r="AF188" s="120"/>
      <c r="AG188" s="120"/>
      <c r="AK188" s="403"/>
    </row>
    <row r="189" spans="4:37" x14ac:dyDescent="0.25">
      <c r="D189" s="403"/>
      <c r="E189" s="394"/>
      <c r="F189" s="394"/>
      <c r="G189" s="394"/>
      <c r="H189" s="403"/>
      <c r="I189" s="394"/>
      <c r="J189" s="394"/>
      <c r="K189" s="394"/>
      <c r="L189" s="403"/>
      <c r="M189" s="394"/>
      <c r="N189" s="394"/>
      <c r="O189" s="394"/>
      <c r="P189" s="403"/>
      <c r="Q189" s="394"/>
      <c r="R189" s="394"/>
      <c r="S189" s="394"/>
      <c r="T189" s="403"/>
      <c r="U189" s="394"/>
      <c r="V189" s="394"/>
      <c r="W189" s="394"/>
      <c r="X189" s="403"/>
      <c r="Y189" s="394"/>
      <c r="Z189" s="394"/>
      <c r="AA189" s="394"/>
      <c r="AB189" s="403"/>
      <c r="AC189" s="394"/>
      <c r="AD189" s="394"/>
      <c r="AF189" s="120"/>
      <c r="AG189" s="120"/>
      <c r="AK189" s="403"/>
    </row>
    <row r="190" spans="4:37" x14ac:dyDescent="0.25">
      <c r="D190" s="403"/>
      <c r="E190" s="394"/>
      <c r="F190" s="394"/>
      <c r="G190" s="394"/>
      <c r="H190" s="403"/>
      <c r="I190" s="394"/>
      <c r="J190" s="394"/>
      <c r="K190" s="394"/>
      <c r="L190" s="403"/>
      <c r="M190" s="394"/>
      <c r="N190" s="394"/>
      <c r="O190" s="394"/>
      <c r="P190" s="403"/>
      <c r="Q190" s="394"/>
      <c r="R190" s="394"/>
      <c r="S190" s="394"/>
      <c r="T190" s="403"/>
      <c r="U190" s="394"/>
      <c r="V190" s="394"/>
      <c r="W190" s="394"/>
      <c r="X190" s="403"/>
      <c r="Y190" s="394"/>
      <c r="Z190" s="394"/>
      <c r="AA190" s="394"/>
      <c r="AB190" s="403"/>
      <c r="AC190" s="394"/>
      <c r="AD190" s="394"/>
      <c r="AF190" s="120"/>
      <c r="AG190" s="120"/>
      <c r="AK190" s="403"/>
    </row>
    <row r="191" spans="4:37" x14ac:dyDescent="0.25">
      <c r="D191" s="403"/>
      <c r="E191" s="394"/>
      <c r="F191" s="394"/>
      <c r="G191" s="394"/>
      <c r="H191" s="403"/>
      <c r="I191" s="394"/>
      <c r="J191" s="394"/>
      <c r="K191" s="394"/>
      <c r="L191" s="403"/>
      <c r="M191" s="394"/>
      <c r="N191" s="394"/>
      <c r="O191" s="394"/>
      <c r="P191" s="403"/>
      <c r="Q191" s="394"/>
      <c r="R191" s="394"/>
      <c r="S191" s="394"/>
      <c r="T191" s="403"/>
      <c r="U191" s="394"/>
      <c r="V191" s="394"/>
      <c r="W191" s="394"/>
      <c r="X191" s="403"/>
      <c r="Y191" s="394"/>
      <c r="Z191" s="394"/>
      <c r="AA191" s="394"/>
      <c r="AB191" s="403"/>
      <c r="AC191" s="394"/>
      <c r="AD191" s="394"/>
      <c r="AF191" s="120"/>
      <c r="AG191" s="120"/>
      <c r="AK191" s="403"/>
    </row>
    <row r="192" spans="4:37" x14ac:dyDescent="0.25">
      <c r="D192" s="403"/>
      <c r="E192" s="394"/>
      <c r="F192" s="394"/>
      <c r="G192" s="394"/>
      <c r="H192" s="403"/>
      <c r="I192" s="394"/>
      <c r="J192" s="394"/>
      <c r="K192" s="394"/>
      <c r="L192" s="403"/>
      <c r="M192" s="394"/>
      <c r="N192" s="394"/>
      <c r="O192" s="394"/>
      <c r="P192" s="403"/>
      <c r="Q192" s="394"/>
      <c r="R192" s="394"/>
      <c r="S192" s="394"/>
      <c r="T192" s="403"/>
      <c r="U192" s="394"/>
      <c r="V192" s="394"/>
      <c r="W192" s="394"/>
      <c r="X192" s="403"/>
      <c r="Y192" s="394"/>
      <c r="Z192" s="394"/>
      <c r="AA192" s="394"/>
      <c r="AB192" s="403"/>
      <c r="AC192" s="394"/>
      <c r="AD192" s="394"/>
      <c r="AF192" s="120"/>
      <c r="AG192" s="120"/>
      <c r="AK192" s="403"/>
    </row>
    <row r="193" spans="4:37" x14ac:dyDescent="0.25">
      <c r="D193" s="403"/>
      <c r="E193" s="394"/>
      <c r="F193" s="394"/>
      <c r="G193" s="394"/>
      <c r="H193" s="403"/>
      <c r="I193" s="394"/>
      <c r="J193" s="394"/>
      <c r="K193" s="394"/>
      <c r="L193" s="403"/>
      <c r="M193" s="394"/>
      <c r="N193" s="394"/>
      <c r="O193" s="394"/>
      <c r="P193" s="403"/>
      <c r="Q193" s="394"/>
      <c r="R193" s="394"/>
      <c r="S193" s="394"/>
      <c r="T193" s="403"/>
      <c r="U193" s="394"/>
      <c r="V193" s="394"/>
      <c r="W193" s="394"/>
      <c r="X193" s="403"/>
      <c r="Y193" s="394"/>
      <c r="Z193" s="394"/>
      <c r="AA193" s="394"/>
      <c r="AB193" s="403"/>
      <c r="AC193" s="394"/>
      <c r="AD193" s="394"/>
      <c r="AF193" s="120"/>
      <c r="AG193" s="120"/>
      <c r="AK193" s="403"/>
    </row>
    <row r="194" spans="4:37" x14ac:dyDescent="0.25">
      <c r="D194" s="403"/>
      <c r="E194" s="394"/>
      <c r="F194" s="394"/>
      <c r="G194" s="394"/>
      <c r="H194" s="403"/>
      <c r="I194" s="394"/>
      <c r="J194" s="394"/>
      <c r="K194" s="394"/>
      <c r="L194" s="403"/>
      <c r="M194" s="394"/>
      <c r="N194" s="394"/>
      <c r="O194" s="394"/>
      <c r="P194" s="403"/>
      <c r="Q194" s="394"/>
      <c r="R194" s="394"/>
      <c r="S194" s="394"/>
      <c r="T194" s="403"/>
      <c r="U194" s="394"/>
      <c r="V194" s="394"/>
      <c r="W194" s="394"/>
      <c r="X194" s="403"/>
      <c r="Y194" s="394"/>
      <c r="Z194" s="394"/>
      <c r="AA194" s="394"/>
      <c r="AB194" s="403"/>
      <c r="AC194" s="394"/>
      <c r="AD194" s="394"/>
      <c r="AF194" s="120"/>
      <c r="AG194" s="120"/>
      <c r="AK194" s="403"/>
    </row>
    <row r="195" spans="4:37" x14ac:dyDescent="0.25">
      <c r="D195" s="403"/>
      <c r="E195" s="394"/>
      <c r="F195" s="394"/>
      <c r="G195" s="394"/>
      <c r="H195" s="403"/>
      <c r="I195" s="394"/>
      <c r="J195" s="394"/>
      <c r="K195" s="394"/>
      <c r="L195" s="403"/>
      <c r="M195" s="394"/>
      <c r="N195" s="394"/>
      <c r="O195" s="394"/>
      <c r="P195" s="403"/>
      <c r="Q195" s="394"/>
      <c r="R195" s="394"/>
      <c r="S195" s="394"/>
      <c r="T195" s="403"/>
      <c r="U195" s="394"/>
      <c r="V195" s="394"/>
      <c r="W195" s="394"/>
      <c r="X195" s="403"/>
      <c r="Y195" s="394"/>
      <c r="Z195" s="394"/>
      <c r="AA195" s="394"/>
      <c r="AB195" s="403"/>
      <c r="AC195" s="394"/>
      <c r="AD195" s="394"/>
      <c r="AF195" s="120"/>
      <c r="AG195" s="120"/>
      <c r="AK195" s="403"/>
    </row>
    <row r="196" spans="4:37" x14ac:dyDescent="0.25">
      <c r="D196" s="403"/>
      <c r="E196" s="394"/>
      <c r="F196" s="394"/>
      <c r="G196" s="394"/>
      <c r="H196" s="403"/>
      <c r="I196" s="394"/>
      <c r="J196" s="394"/>
      <c r="K196" s="394"/>
      <c r="L196" s="403"/>
      <c r="M196" s="394"/>
      <c r="N196" s="394"/>
      <c r="O196" s="394"/>
      <c r="P196" s="403"/>
      <c r="Q196" s="394"/>
      <c r="R196" s="394"/>
      <c r="S196" s="394"/>
      <c r="T196" s="403"/>
      <c r="U196" s="394"/>
      <c r="V196" s="394"/>
      <c r="W196" s="394"/>
      <c r="X196" s="403"/>
      <c r="Y196" s="394"/>
      <c r="Z196" s="394"/>
      <c r="AA196" s="394"/>
      <c r="AB196" s="403"/>
      <c r="AC196" s="394"/>
      <c r="AD196" s="394"/>
      <c r="AF196" s="120"/>
      <c r="AG196" s="120"/>
      <c r="AK196" s="403"/>
    </row>
    <row r="197" spans="4:37" x14ac:dyDescent="0.25">
      <c r="D197" s="403"/>
      <c r="E197" s="394"/>
      <c r="F197" s="394"/>
      <c r="G197" s="394"/>
      <c r="H197" s="403"/>
      <c r="I197" s="394"/>
      <c r="J197" s="394"/>
      <c r="K197" s="394"/>
      <c r="L197" s="403"/>
      <c r="M197" s="394"/>
      <c r="N197" s="394"/>
      <c r="O197" s="394"/>
      <c r="P197" s="403"/>
      <c r="Q197" s="394"/>
      <c r="R197" s="394"/>
      <c r="S197" s="394"/>
      <c r="T197" s="403"/>
      <c r="U197" s="394"/>
      <c r="V197" s="394"/>
      <c r="W197" s="394"/>
      <c r="X197" s="403"/>
      <c r="Y197" s="394"/>
      <c r="Z197" s="394"/>
      <c r="AA197" s="394"/>
      <c r="AB197" s="403"/>
      <c r="AC197" s="394"/>
      <c r="AD197" s="394"/>
      <c r="AF197" s="120"/>
      <c r="AG197" s="120"/>
      <c r="AK197" s="403"/>
    </row>
    <row r="198" spans="4:37" x14ac:dyDescent="0.25">
      <c r="D198" s="403"/>
      <c r="E198" s="394"/>
      <c r="F198" s="394"/>
      <c r="G198" s="394"/>
      <c r="H198" s="403"/>
      <c r="I198" s="394"/>
      <c r="J198" s="394"/>
      <c r="K198" s="394"/>
      <c r="L198" s="403"/>
      <c r="M198" s="394"/>
      <c r="N198" s="394"/>
      <c r="O198" s="394"/>
      <c r="P198" s="403"/>
      <c r="Q198" s="394"/>
      <c r="R198" s="394"/>
      <c r="S198" s="394"/>
      <c r="T198" s="403"/>
      <c r="U198" s="394"/>
      <c r="V198" s="394"/>
      <c r="W198" s="394"/>
      <c r="X198" s="403"/>
      <c r="Y198" s="394"/>
      <c r="Z198" s="394"/>
      <c r="AA198" s="394"/>
      <c r="AB198" s="403"/>
      <c r="AC198" s="394"/>
      <c r="AD198" s="394"/>
      <c r="AF198" s="120"/>
      <c r="AG198" s="120"/>
      <c r="AK198" s="403"/>
    </row>
    <row r="199" spans="4:37" x14ac:dyDescent="0.25">
      <c r="D199" s="403"/>
      <c r="E199" s="394"/>
      <c r="F199" s="394"/>
      <c r="G199" s="394"/>
      <c r="H199" s="403"/>
      <c r="I199" s="394"/>
      <c r="J199" s="394"/>
      <c r="K199" s="394"/>
      <c r="L199" s="403"/>
      <c r="M199" s="394"/>
      <c r="N199" s="394"/>
      <c r="O199" s="394"/>
      <c r="P199" s="403"/>
      <c r="Q199" s="394"/>
      <c r="R199" s="394"/>
      <c r="S199" s="394"/>
      <c r="T199" s="403"/>
      <c r="U199" s="394"/>
      <c r="V199" s="394"/>
      <c r="W199" s="394"/>
      <c r="X199" s="403"/>
      <c r="Y199" s="394"/>
      <c r="Z199" s="394"/>
      <c r="AA199" s="394"/>
      <c r="AB199" s="403"/>
      <c r="AC199" s="394"/>
      <c r="AD199" s="394"/>
      <c r="AF199" s="120"/>
      <c r="AG199" s="120"/>
      <c r="AK199" s="403"/>
    </row>
    <row r="200" spans="4:37" x14ac:dyDescent="0.25">
      <c r="D200" s="403"/>
      <c r="E200" s="394"/>
      <c r="F200" s="394"/>
      <c r="G200" s="394"/>
      <c r="H200" s="403"/>
      <c r="I200" s="394"/>
      <c r="J200" s="394"/>
      <c r="K200" s="394"/>
      <c r="L200" s="403"/>
      <c r="M200" s="394"/>
      <c r="N200" s="394"/>
      <c r="O200" s="394"/>
      <c r="P200" s="403"/>
      <c r="Q200" s="394"/>
      <c r="R200" s="394"/>
      <c r="S200" s="394"/>
      <c r="T200" s="403"/>
      <c r="U200" s="394"/>
      <c r="V200" s="394"/>
      <c r="W200" s="394"/>
      <c r="X200" s="403"/>
      <c r="Y200" s="394"/>
      <c r="Z200" s="394"/>
      <c r="AA200" s="394"/>
      <c r="AB200" s="403"/>
      <c r="AC200" s="394"/>
      <c r="AD200" s="394"/>
      <c r="AF200" s="120"/>
      <c r="AG200" s="120"/>
      <c r="AK200" s="403"/>
    </row>
    <row r="201" spans="4:37" x14ac:dyDescent="0.25">
      <c r="D201" s="403"/>
      <c r="E201" s="394"/>
      <c r="F201" s="394"/>
      <c r="G201" s="394"/>
      <c r="H201" s="403"/>
      <c r="I201" s="394"/>
      <c r="J201" s="394"/>
      <c r="K201" s="394"/>
      <c r="L201" s="403"/>
      <c r="M201" s="394"/>
      <c r="N201" s="394"/>
      <c r="O201" s="394"/>
      <c r="P201" s="403"/>
      <c r="Q201" s="394"/>
      <c r="R201" s="394"/>
      <c r="S201" s="394"/>
      <c r="T201" s="403"/>
      <c r="U201" s="394"/>
      <c r="V201" s="394"/>
      <c r="W201" s="394"/>
      <c r="X201" s="403"/>
      <c r="Y201" s="394"/>
      <c r="Z201" s="394"/>
      <c r="AA201" s="394"/>
      <c r="AB201" s="403"/>
      <c r="AC201" s="394"/>
      <c r="AD201" s="394"/>
      <c r="AF201" s="120"/>
      <c r="AG201" s="120"/>
      <c r="AK201" s="403"/>
    </row>
    <row r="202" spans="4:37" x14ac:dyDescent="0.25">
      <c r="D202" s="403"/>
      <c r="E202" s="394"/>
      <c r="F202" s="394"/>
      <c r="G202" s="394"/>
      <c r="H202" s="403"/>
      <c r="I202" s="394"/>
      <c r="J202" s="394"/>
      <c r="K202" s="394"/>
      <c r="L202" s="403"/>
      <c r="M202" s="394"/>
      <c r="N202" s="394"/>
      <c r="O202" s="394"/>
      <c r="P202" s="403"/>
      <c r="Q202" s="394"/>
      <c r="R202" s="394"/>
      <c r="S202" s="394"/>
      <c r="T202" s="403"/>
      <c r="U202" s="394"/>
      <c r="V202" s="394"/>
      <c r="W202" s="394"/>
      <c r="X202" s="403"/>
      <c r="Y202" s="394"/>
      <c r="Z202" s="394"/>
      <c r="AA202" s="394"/>
      <c r="AB202" s="403"/>
      <c r="AC202" s="394"/>
      <c r="AD202" s="394"/>
      <c r="AF202" s="120"/>
      <c r="AG202" s="120"/>
      <c r="AK202" s="403"/>
    </row>
    <row r="203" spans="4:37" x14ac:dyDescent="0.25">
      <c r="D203" s="403"/>
      <c r="E203" s="394"/>
      <c r="F203" s="394"/>
      <c r="G203" s="394"/>
      <c r="H203" s="403"/>
      <c r="I203" s="394"/>
      <c r="J203" s="394"/>
      <c r="K203" s="394"/>
      <c r="L203" s="403"/>
      <c r="M203" s="394"/>
      <c r="N203" s="394"/>
      <c r="O203" s="394"/>
      <c r="P203" s="403"/>
      <c r="Q203" s="394"/>
      <c r="R203" s="394"/>
      <c r="S203" s="394"/>
      <c r="T203" s="403"/>
      <c r="U203" s="394"/>
      <c r="V203" s="394"/>
      <c r="W203" s="394"/>
      <c r="X203" s="403"/>
      <c r="Y203" s="394"/>
      <c r="Z203" s="394"/>
      <c r="AA203" s="394"/>
      <c r="AB203" s="403"/>
      <c r="AC203" s="394"/>
      <c r="AD203" s="394"/>
      <c r="AF203" s="120"/>
      <c r="AG203" s="120"/>
      <c r="AK203" s="403"/>
    </row>
    <row r="204" spans="4:37" x14ac:dyDescent="0.25">
      <c r="D204" s="403"/>
      <c r="E204" s="394"/>
      <c r="F204" s="394"/>
      <c r="G204" s="394"/>
      <c r="H204" s="403"/>
      <c r="I204" s="394"/>
      <c r="J204" s="394"/>
      <c r="K204" s="394"/>
      <c r="L204" s="403"/>
      <c r="M204" s="394"/>
      <c r="N204" s="394"/>
      <c r="O204" s="394"/>
      <c r="P204" s="403"/>
      <c r="Q204" s="394"/>
      <c r="R204" s="394"/>
      <c r="S204" s="394"/>
      <c r="T204" s="403"/>
      <c r="U204" s="394"/>
      <c r="V204" s="394"/>
      <c r="W204" s="394"/>
      <c r="X204" s="403"/>
      <c r="Y204" s="394"/>
      <c r="Z204" s="394"/>
      <c r="AA204" s="394"/>
      <c r="AB204" s="403"/>
      <c r="AC204" s="394"/>
      <c r="AD204" s="394"/>
      <c r="AF204" s="120"/>
      <c r="AG204" s="120"/>
      <c r="AK204" s="403"/>
    </row>
    <row r="205" spans="4:37" x14ac:dyDescent="0.25">
      <c r="D205" s="403"/>
      <c r="E205" s="394"/>
      <c r="F205" s="394"/>
      <c r="G205" s="394"/>
      <c r="H205" s="403"/>
      <c r="I205" s="394"/>
      <c r="J205" s="394"/>
      <c r="K205" s="394"/>
      <c r="L205" s="403"/>
      <c r="M205" s="394"/>
      <c r="N205" s="394"/>
      <c r="O205" s="394"/>
      <c r="P205" s="403"/>
      <c r="Q205" s="394"/>
      <c r="R205" s="394"/>
      <c r="S205" s="394"/>
      <c r="T205" s="403"/>
      <c r="U205" s="394"/>
      <c r="V205" s="394"/>
      <c r="W205" s="394"/>
      <c r="X205" s="403"/>
      <c r="Y205" s="394"/>
      <c r="Z205" s="394"/>
      <c r="AA205" s="394"/>
      <c r="AB205" s="403"/>
      <c r="AC205" s="394"/>
      <c r="AD205" s="394"/>
      <c r="AF205" s="120"/>
      <c r="AG205" s="120"/>
      <c r="AK205" s="403"/>
    </row>
    <row r="206" spans="4:37" x14ac:dyDescent="0.25">
      <c r="D206" s="403"/>
      <c r="E206" s="394"/>
      <c r="F206" s="394"/>
      <c r="G206" s="394"/>
      <c r="H206" s="403"/>
      <c r="I206" s="394"/>
      <c r="J206" s="394"/>
      <c r="K206" s="394"/>
      <c r="L206" s="403"/>
      <c r="M206" s="394"/>
      <c r="N206" s="394"/>
      <c r="O206" s="394"/>
      <c r="P206" s="403"/>
      <c r="Q206" s="394"/>
      <c r="R206" s="394"/>
      <c r="S206" s="394"/>
      <c r="T206" s="403"/>
      <c r="U206" s="394"/>
      <c r="V206" s="394"/>
      <c r="W206" s="394"/>
      <c r="X206" s="403"/>
      <c r="Y206" s="394"/>
      <c r="Z206" s="394"/>
      <c r="AA206" s="394"/>
      <c r="AB206" s="403"/>
      <c r="AC206" s="394"/>
      <c r="AD206" s="394"/>
      <c r="AF206" s="120"/>
      <c r="AG206" s="120"/>
      <c r="AK206" s="403"/>
    </row>
    <row r="207" spans="4:37" x14ac:dyDescent="0.25">
      <c r="D207" s="403"/>
      <c r="E207" s="394"/>
      <c r="F207" s="394"/>
      <c r="G207" s="394"/>
      <c r="H207" s="403"/>
      <c r="I207" s="394"/>
      <c r="J207" s="394"/>
      <c r="K207" s="394"/>
      <c r="L207" s="403"/>
      <c r="M207" s="394"/>
      <c r="N207" s="394"/>
      <c r="O207" s="394"/>
      <c r="P207" s="403"/>
      <c r="Q207" s="394"/>
      <c r="R207" s="394"/>
      <c r="S207" s="394"/>
      <c r="T207" s="403"/>
      <c r="U207" s="394"/>
      <c r="V207" s="394"/>
      <c r="W207" s="394"/>
      <c r="X207" s="403"/>
      <c r="Y207" s="394"/>
      <c r="Z207" s="394"/>
      <c r="AA207" s="394"/>
      <c r="AB207" s="403"/>
      <c r="AC207" s="394"/>
      <c r="AD207" s="394"/>
      <c r="AF207" s="120"/>
      <c r="AG207" s="120"/>
      <c r="AK207" s="403"/>
    </row>
    <row r="208" spans="4:37" x14ac:dyDescent="0.25">
      <c r="D208" s="403"/>
      <c r="E208" s="394"/>
      <c r="F208" s="394"/>
      <c r="G208" s="394"/>
      <c r="H208" s="403"/>
      <c r="I208" s="394"/>
      <c r="J208" s="394"/>
      <c r="K208" s="394"/>
      <c r="L208" s="403"/>
      <c r="M208" s="394"/>
      <c r="N208" s="394"/>
      <c r="O208" s="394"/>
      <c r="P208" s="403"/>
      <c r="Q208" s="394"/>
      <c r="R208" s="394"/>
      <c r="S208" s="394"/>
      <c r="T208" s="403"/>
      <c r="U208" s="394"/>
      <c r="V208" s="394"/>
      <c r="W208" s="394"/>
      <c r="X208" s="403"/>
      <c r="Y208" s="394"/>
      <c r="Z208" s="394"/>
      <c r="AA208" s="394"/>
      <c r="AB208" s="403"/>
      <c r="AC208" s="394"/>
      <c r="AD208" s="394"/>
      <c r="AF208" s="120"/>
      <c r="AG208" s="120"/>
      <c r="AK208" s="403"/>
    </row>
    <row r="209" spans="4:37" x14ac:dyDescent="0.25">
      <c r="D209" s="403"/>
      <c r="E209" s="394"/>
      <c r="F209" s="394"/>
      <c r="G209" s="394"/>
      <c r="H209" s="403"/>
      <c r="I209" s="394"/>
      <c r="J209" s="394"/>
      <c r="K209" s="394"/>
      <c r="L209" s="403"/>
      <c r="M209" s="394"/>
      <c r="N209" s="394"/>
      <c r="O209" s="394"/>
      <c r="P209" s="403"/>
      <c r="Q209" s="394"/>
      <c r="R209" s="394"/>
      <c r="S209" s="394"/>
      <c r="T209" s="403"/>
      <c r="U209" s="394"/>
      <c r="V209" s="394"/>
      <c r="W209" s="394"/>
      <c r="X209" s="403"/>
      <c r="Y209" s="394"/>
      <c r="Z209" s="394"/>
      <c r="AA209" s="394"/>
      <c r="AB209" s="403"/>
      <c r="AC209" s="394"/>
      <c r="AD209" s="394"/>
      <c r="AF209" s="120"/>
      <c r="AG209" s="120"/>
      <c r="AK209" s="403"/>
    </row>
    <row r="210" spans="4:37" x14ac:dyDescent="0.25">
      <c r="D210" s="403"/>
      <c r="E210" s="394"/>
      <c r="F210" s="394"/>
      <c r="G210" s="394"/>
      <c r="H210" s="403"/>
      <c r="I210" s="394"/>
      <c r="J210" s="394"/>
      <c r="K210" s="394"/>
      <c r="L210" s="403"/>
      <c r="M210" s="394"/>
      <c r="N210" s="394"/>
      <c r="O210" s="394"/>
      <c r="P210" s="403"/>
      <c r="Q210" s="394"/>
      <c r="R210" s="394"/>
      <c r="S210" s="394"/>
      <c r="T210" s="403"/>
      <c r="U210" s="394"/>
      <c r="V210" s="394"/>
      <c r="W210" s="394"/>
      <c r="X210" s="403"/>
      <c r="Y210" s="394"/>
      <c r="Z210" s="394"/>
      <c r="AA210" s="394"/>
      <c r="AB210" s="403"/>
      <c r="AC210" s="394"/>
      <c r="AD210" s="394"/>
      <c r="AF210" s="120"/>
      <c r="AG210" s="120"/>
      <c r="AK210" s="403"/>
    </row>
    <row r="211" spans="4:37" x14ac:dyDescent="0.25">
      <c r="D211" s="403"/>
      <c r="E211" s="394"/>
      <c r="F211" s="394"/>
      <c r="G211" s="394"/>
      <c r="H211" s="403"/>
      <c r="I211" s="394"/>
      <c r="J211" s="394"/>
      <c r="K211" s="394"/>
      <c r="L211" s="403"/>
      <c r="M211" s="394"/>
      <c r="N211" s="394"/>
      <c r="O211" s="394"/>
      <c r="P211" s="403"/>
      <c r="Q211" s="394"/>
      <c r="R211" s="394"/>
      <c r="S211" s="394"/>
      <c r="T211" s="403"/>
      <c r="U211" s="394"/>
      <c r="V211" s="394"/>
      <c r="W211" s="394"/>
      <c r="X211" s="403"/>
      <c r="Y211" s="394"/>
      <c r="Z211" s="394"/>
      <c r="AA211" s="394"/>
      <c r="AB211" s="403"/>
      <c r="AC211" s="394"/>
      <c r="AD211" s="394"/>
      <c r="AF211" s="120"/>
      <c r="AG211" s="120"/>
      <c r="AK211" s="403"/>
    </row>
    <row r="212" spans="4:37" x14ac:dyDescent="0.25">
      <c r="D212" s="403"/>
      <c r="E212" s="394"/>
      <c r="F212" s="394"/>
      <c r="G212" s="394"/>
      <c r="H212" s="403"/>
      <c r="I212" s="394"/>
      <c r="J212" s="394"/>
      <c r="K212" s="394"/>
      <c r="L212" s="403"/>
      <c r="M212" s="394"/>
      <c r="N212" s="394"/>
      <c r="O212" s="394"/>
      <c r="P212" s="403"/>
      <c r="Q212" s="394"/>
      <c r="R212" s="394"/>
      <c r="S212" s="394"/>
      <c r="T212" s="403"/>
      <c r="U212" s="394"/>
      <c r="V212" s="394"/>
      <c r="W212" s="394"/>
      <c r="X212" s="403"/>
      <c r="Y212" s="394"/>
      <c r="Z212" s="394"/>
      <c r="AA212" s="394"/>
      <c r="AB212" s="403"/>
      <c r="AC212" s="394"/>
      <c r="AD212" s="394"/>
      <c r="AF212" s="120"/>
      <c r="AG212" s="120"/>
      <c r="AK212" s="403"/>
    </row>
    <row r="213" spans="4:37" x14ac:dyDescent="0.25">
      <c r="D213" s="403"/>
      <c r="E213" s="394"/>
      <c r="F213" s="394"/>
      <c r="G213" s="394"/>
      <c r="H213" s="403"/>
      <c r="I213" s="394"/>
      <c r="J213" s="394"/>
      <c r="K213" s="394"/>
      <c r="L213" s="403"/>
      <c r="M213" s="394"/>
      <c r="N213" s="394"/>
      <c r="O213" s="394"/>
      <c r="P213" s="403"/>
      <c r="Q213" s="394"/>
      <c r="R213" s="394"/>
      <c r="S213" s="394"/>
      <c r="T213" s="403"/>
      <c r="U213" s="394"/>
      <c r="V213" s="394"/>
      <c r="W213" s="394"/>
      <c r="X213" s="403"/>
      <c r="Y213" s="394"/>
      <c r="Z213" s="394"/>
      <c r="AA213" s="394"/>
      <c r="AB213" s="403"/>
      <c r="AC213" s="394"/>
      <c r="AD213" s="394"/>
      <c r="AF213" s="120"/>
      <c r="AG213" s="120"/>
      <c r="AK213" s="403"/>
    </row>
    <row r="214" spans="4:37" x14ac:dyDescent="0.25">
      <c r="D214" s="403"/>
      <c r="E214" s="394"/>
      <c r="F214" s="394"/>
      <c r="G214" s="394"/>
      <c r="H214" s="403"/>
      <c r="I214" s="394"/>
      <c r="J214" s="394"/>
      <c r="K214" s="394"/>
      <c r="L214" s="403"/>
      <c r="M214" s="394"/>
      <c r="N214" s="394"/>
      <c r="O214" s="394"/>
      <c r="P214" s="403"/>
      <c r="Q214" s="394"/>
      <c r="R214" s="394"/>
      <c r="S214" s="394"/>
      <c r="T214" s="403"/>
      <c r="U214" s="394"/>
      <c r="V214" s="394"/>
      <c r="W214" s="394"/>
      <c r="X214" s="403"/>
      <c r="Y214" s="394"/>
      <c r="Z214" s="394"/>
      <c r="AA214" s="394"/>
      <c r="AB214" s="403"/>
      <c r="AC214" s="394"/>
      <c r="AD214" s="394"/>
      <c r="AF214" s="120"/>
      <c r="AG214" s="120"/>
      <c r="AK214" s="403"/>
    </row>
    <row r="215" spans="4:37" x14ac:dyDescent="0.25">
      <c r="D215" s="403"/>
      <c r="E215" s="394"/>
      <c r="F215" s="394"/>
      <c r="G215" s="394"/>
      <c r="H215" s="403"/>
      <c r="I215" s="394"/>
      <c r="J215" s="394"/>
      <c r="K215" s="394"/>
      <c r="L215" s="403"/>
      <c r="M215" s="394"/>
      <c r="N215" s="394"/>
      <c r="O215" s="394"/>
      <c r="P215" s="403"/>
      <c r="Q215" s="394"/>
      <c r="R215" s="394"/>
      <c r="S215" s="394"/>
      <c r="T215" s="403"/>
      <c r="U215" s="394"/>
      <c r="V215" s="394"/>
      <c r="W215" s="394"/>
      <c r="X215" s="403"/>
      <c r="Y215" s="394"/>
      <c r="Z215" s="394"/>
      <c r="AA215" s="394"/>
      <c r="AB215" s="403"/>
      <c r="AC215" s="394"/>
      <c r="AD215" s="394"/>
      <c r="AF215" s="120"/>
      <c r="AG215" s="120"/>
      <c r="AK215" s="403"/>
    </row>
    <row r="216" spans="4:37" x14ac:dyDescent="0.25">
      <c r="D216" s="403"/>
      <c r="E216" s="394"/>
      <c r="F216" s="394"/>
      <c r="G216" s="394"/>
      <c r="H216" s="403"/>
      <c r="I216" s="394"/>
      <c r="J216" s="394"/>
      <c r="K216" s="394"/>
      <c r="L216" s="403"/>
      <c r="M216" s="394"/>
      <c r="N216" s="394"/>
      <c r="O216" s="394"/>
      <c r="P216" s="403"/>
      <c r="Q216" s="394"/>
      <c r="R216" s="394"/>
      <c r="S216" s="394"/>
      <c r="T216" s="403"/>
      <c r="U216" s="394"/>
      <c r="V216" s="394"/>
      <c r="W216" s="394"/>
      <c r="X216" s="403"/>
      <c r="Y216" s="394"/>
      <c r="Z216" s="394"/>
      <c r="AA216" s="394"/>
      <c r="AB216" s="403"/>
      <c r="AC216" s="394"/>
      <c r="AD216" s="394"/>
      <c r="AF216" s="120"/>
      <c r="AG216" s="120"/>
      <c r="AK216" s="403"/>
    </row>
    <row r="217" spans="4:37" x14ac:dyDescent="0.25">
      <c r="D217" s="403"/>
      <c r="E217" s="394"/>
      <c r="F217" s="394"/>
      <c r="G217" s="394"/>
      <c r="H217" s="403"/>
      <c r="I217" s="394"/>
      <c r="J217" s="394"/>
      <c r="K217" s="394"/>
      <c r="L217" s="403"/>
      <c r="M217" s="394"/>
      <c r="N217" s="394"/>
      <c r="O217" s="394"/>
      <c r="P217" s="403"/>
      <c r="Q217" s="394"/>
      <c r="R217" s="394"/>
      <c r="S217" s="394"/>
      <c r="T217" s="403"/>
      <c r="U217" s="394"/>
      <c r="V217" s="394"/>
      <c r="W217" s="394"/>
      <c r="X217" s="403"/>
      <c r="Y217" s="394"/>
      <c r="Z217" s="394"/>
      <c r="AA217" s="394"/>
      <c r="AB217" s="403"/>
      <c r="AC217" s="394"/>
      <c r="AD217" s="394"/>
      <c r="AF217" s="120"/>
      <c r="AG217" s="120"/>
      <c r="AK217" s="403"/>
    </row>
    <row r="218" spans="4:37" x14ac:dyDescent="0.25">
      <c r="D218" s="403"/>
      <c r="E218" s="394"/>
      <c r="F218" s="394"/>
      <c r="G218" s="394"/>
      <c r="H218" s="403"/>
      <c r="I218" s="394"/>
      <c r="J218" s="394"/>
      <c r="K218" s="394"/>
      <c r="L218" s="403"/>
      <c r="M218" s="394"/>
      <c r="N218" s="394"/>
      <c r="O218" s="394"/>
      <c r="P218" s="403"/>
      <c r="Q218" s="394"/>
      <c r="R218" s="394"/>
      <c r="S218" s="394"/>
      <c r="T218" s="403"/>
      <c r="U218" s="394"/>
      <c r="V218" s="394"/>
      <c r="W218" s="394"/>
      <c r="X218" s="403"/>
      <c r="Y218" s="394"/>
      <c r="Z218" s="394"/>
      <c r="AA218" s="394"/>
      <c r="AB218" s="403"/>
      <c r="AC218" s="394"/>
      <c r="AD218" s="394"/>
      <c r="AF218" s="120"/>
      <c r="AG218" s="120"/>
      <c r="AK218" s="403"/>
    </row>
    <row r="219" spans="4:37" x14ac:dyDescent="0.25">
      <c r="D219" s="403"/>
      <c r="E219" s="394"/>
      <c r="F219" s="394"/>
      <c r="G219" s="394"/>
      <c r="H219" s="403"/>
      <c r="I219" s="394"/>
      <c r="J219" s="394"/>
      <c r="K219" s="394"/>
      <c r="L219" s="403"/>
      <c r="M219" s="394"/>
      <c r="N219" s="394"/>
      <c r="O219" s="394"/>
      <c r="P219" s="403"/>
      <c r="Q219" s="394"/>
      <c r="R219" s="394"/>
      <c r="S219" s="394"/>
      <c r="T219" s="403"/>
      <c r="U219" s="394"/>
      <c r="V219" s="394"/>
      <c r="W219" s="394"/>
      <c r="X219" s="403"/>
      <c r="Y219" s="394"/>
      <c r="Z219" s="394"/>
      <c r="AA219" s="394"/>
      <c r="AB219" s="120"/>
      <c r="AF219" s="120"/>
      <c r="AG219" s="120"/>
      <c r="AK219" s="403"/>
    </row>
    <row r="220" spans="4:37" x14ac:dyDescent="0.25">
      <c r="D220" s="403"/>
      <c r="E220" s="394"/>
      <c r="F220" s="394"/>
      <c r="G220" s="394"/>
      <c r="H220" s="403"/>
      <c r="I220" s="394"/>
      <c r="J220" s="394"/>
      <c r="K220" s="394"/>
      <c r="L220" s="403"/>
      <c r="M220" s="394"/>
      <c r="N220" s="394"/>
      <c r="O220" s="394"/>
      <c r="P220" s="403"/>
      <c r="Q220" s="394"/>
      <c r="R220" s="394"/>
      <c r="S220" s="394"/>
      <c r="T220" s="403"/>
      <c r="U220" s="394"/>
      <c r="V220" s="394"/>
      <c r="W220" s="394"/>
      <c r="X220" s="403"/>
      <c r="Y220" s="394"/>
      <c r="Z220" s="394"/>
      <c r="AA220" s="394"/>
      <c r="AB220" s="120"/>
      <c r="AF220" s="120"/>
      <c r="AG220" s="120"/>
      <c r="AK220" s="403"/>
    </row>
    <row r="221" spans="4:37" x14ac:dyDescent="0.25">
      <c r="D221" s="403"/>
      <c r="E221" s="394"/>
      <c r="F221" s="394"/>
      <c r="G221" s="394"/>
      <c r="H221" s="403"/>
      <c r="I221" s="394"/>
      <c r="J221" s="394"/>
      <c r="K221" s="394"/>
      <c r="L221" s="403"/>
      <c r="M221" s="394"/>
      <c r="N221" s="394"/>
      <c r="O221" s="394"/>
      <c r="P221" s="403"/>
      <c r="Q221" s="394"/>
      <c r="R221" s="394"/>
      <c r="S221" s="394"/>
      <c r="T221" s="403"/>
      <c r="U221" s="394"/>
      <c r="V221" s="394"/>
      <c r="W221" s="394"/>
      <c r="X221" s="403"/>
      <c r="Y221" s="394"/>
      <c r="Z221" s="394"/>
      <c r="AA221" s="394"/>
      <c r="AB221" s="120"/>
      <c r="AF221" s="120"/>
      <c r="AG221" s="120"/>
      <c r="AK221" s="403"/>
    </row>
    <row r="222" spans="4:37" x14ac:dyDescent="0.25">
      <c r="D222" s="403"/>
      <c r="E222" s="394"/>
      <c r="F222" s="394"/>
      <c r="G222" s="394"/>
      <c r="H222" s="403"/>
      <c r="I222" s="394"/>
      <c r="J222" s="394"/>
      <c r="K222" s="394"/>
      <c r="L222" s="403"/>
      <c r="M222" s="394"/>
      <c r="N222" s="394"/>
      <c r="O222" s="394"/>
      <c r="P222" s="403"/>
      <c r="Q222" s="394"/>
      <c r="R222" s="394"/>
      <c r="S222" s="394"/>
      <c r="T222" s="403"/>
      <c r="U222" s="394"/>
      <c r="V222" s="394"/>
      <c r="W222" s="394"/>
      <c r="X222" s="403"/>
      <c r="Y222" s="394"/>
      <c r="Z222" s="394"/>
      <c r="AA222" s="394"/>
      <c r="AB222" s="120"/>
      <c r="AF222" s="120"/>
      <c r="AG222" s="120"/>
      <c r="AK222" s="403"/>
    </row>
    <row r="223" spans="4:37" x14ac:dyDescent="0.25">
      <c r="D223" s="403"/>
      <c r="E223" s="394"/>
      <c r="F223" s="394"/>
      <c r="G223" s="394"/>
      <c r="H223" s="403"/>
      <c r="I223" s="394"/>
      <c r="J223" s="394"/>
      <c r="K223" s="394"/>
      <c r="L223" s="403"/>
      <c r="M223" s="394"/>
      <c r="N223" s="394"/>
      <c r="O223" s="394"/>
      <c r="P223" s="403"/>
      <c r="Q223" s="394"/>
      <c r="R223" s="394"/>
      <c r="S223" s="394"/>
      <c r="T223" s="403"/>
      <c r="U223" s="394"/>
      <c r="V223" s="394"/>
      <c r="W223" s="394"/>
      <c r="X223" s="403"/>
      <c r="Y223" s="394"/>
      <c r="Z223" s="394"/>
      <c r="AA223" s="394"/>
      <c r="AB223" s="120"/>
      <c r="AF223" s="120"/>
      <c r="AG223" s="120"/>
      <c r="AK223" s="403"/>
    </row>
    <row r="224" spans="4:37" x14ac:dyDescent="0.25">
      <c r="D224" s="403"/>
      <c r="E224" s="394"/>
      <c r="F224" s="394"/>
      <c r="G224" s="394"/>
      <c r="H224" s="403"/>
      <c r="I224" s="394"/>
      <c r="J224" s="394"/>
      <c r="K224" s="394"/>
      <c r="L224" s="403"/>
      <c r="M224" s="394"/>
      <c r="N224" s="394"/>
      <c r="O224" s="394"/>
      <c r="P224" s="403"/>
      <c r="Q224" s="394"/>
      <c r="R224" s="394"/>
      <c r="S224" s="394"/>
      <c r="T224" s="403"/>
      <c r="U224" s="394"/>
      <c r="V224" s="394"/>
      <c r="W224" s="394"/>
      <c r="X224" s="403"/>
      <c r="Y224" s="394"/>
      <c r="Z224" s="394"/>
      <c r="AA224" s="394"/>
      <c r="AB224" s="120"/>
      <c r="AF224" s="120"/>
      <c r="AG224" s="120"/>
      <c r="AK224" s="403"/>
    </row>
    <row r="225" spans="4:37" x14ac:dyDescent="0.25">
      <c r="D225" s="403"/>
      <c r="E225" s="394"/>
      <c r="F225" s="394"/>
      <c r="G225" s="394"/>
      <c r="H225" s="403"/>
      <c r="I225" s="394"/>
      <c r="J225" s="394"/>
      <c r="K225" s="394"/>
      <c r="L225" s="403"/>
      <c r="M225" s="394"/>
      <c r="N225" s="394"/>
      <c r="O225" s="394"/>
      <c r="P225" s="403"/>
      <c r="Q225" s="394"/>
      <c r="R225" s="394"/>
      <c r="S225" s="394"/>
      <c r="T225" s="403"/>
      <c r="U225" s="394"/>
      <c r="V225" s="394"/>
      <c r="W225" s="394"/>
      <c r="X225" s="403"/>
      <c r="Y225" s="394"/>
      <c r="Z225" s="394"/>
      <c r="AA225" s="394"/>
      <c r="AB225" s="120"/>
      <c r="AF225" s="120"/>
      <c r="AG225" s="120"/>
      <c r="AK225" s="403"/>
    </row>
    <row r="226" spans="4:37" x14ac:dyDescent="0.25">
      <c r="D226" s="403"/>
      <c r="E226" s="394"/>
      <c r="F226" s="394"/>
      <c r="G226" s="394"/>
      <c r="H226" s="403"/>
      <c r="I226" s="394"/>
      <c r="J226" s="394"/>
      <c r="K226" s="394"/>
      <c r="L226" s="403"/>
      <c r="M226" s="394"/>
      <c r="N226" s="394"/>
      <c r="O226" s="394"/>
      <c r="P226" s="403"/>
      <c r="Q226" s="394"/>
      <c r="R226" s="394"/>
      <c r="S226" s="394"/>
      <c r="T226" s="403"/>
      <c r="U226" s="394"/>
      <c r="V226" s="394"/>
      <c r="W226" s="394"/>
      <c r="X226" s="403"/>
      <c r="Y226" s="394"/>
      <c r="Z226" s="394"/>
      <c r="AA226" s="394"/>
      <c r="AB226" s="120"/>
      <c r="AF226" s="120"/>
      <c r="AG226" s="120"/>
      <c r="AK226" s="403"/>
    </row>
    <row r="227" spans="4:37" x14ac:dyDescent="0.25">
      <c r="D227" s="403"/>
      <c r="E227" s="394"/>
      <c r="F227" s="394"/>
      <c r="G227" s="394"/>
      <c r="H227" s="403"/>
      <c r="I227" s="394"/>
      <c r="J227" s="394"/>
      <c r="K227" s="394"/>
      <c r="L227" s="403"/>
      <c r="M227" s="394"/>
      <c r="N227" s="394"/>
      <c r="O227" s="394"/>
      <c r="P227" s="403"/>
      <c r="Q227" s="394"/>
      <c r="R227" s="394"/>
      <c r="S227" s="394"/>
      <c r="T227" s="403"/>
      <c r="U227" s="394"/>
      <c r="V227" s="394"/>
      <c r="W227" s="394"/>
      <c r="X227" s="403"/>
      <c r="Y227" s="394"/>
      <c r="Z227" s="394"/>
      <c r="AA227" s="394"/>
      <c r="AB227" s="120"/>
      <c r="AF227" s="120"/>
      <c r="AG227" s="120"/>
      <c r="AK227" s="403"/>
    </row>
    <row r="228" spans="4:37" x14ac:dyDescent="0.25">
      <c r="D228" s="403"/>
      <c r="E228" s="394"/>
      <c r="F228" s="394"/>
      <c r="G228" s="394"/>
      <c r="H228" s="403"/>
      <c r="I228" s="394"/>
      <c r="J228" s="394"/>
      <c r="K228" s="394"/>
      <c r="L228" s="403"/>
      <c r="M228" s="394"/>
      <c r="N228" s="394"/>
      <c r="O228" s="394"/>
      <c r="P228" s="403"/>
      <c r="Q228" s="394"/>
      <c r="R228" s="394"/>
      <c r="S228" s="394"/>
      <c r="T228" s="403"/>
      <c r="U228" s="394"/>
      <c r="V228" s="394"/>
      <c r="W228" s="394"/>
      <c r="X228" s="403"/>
      <c r="Y228" s="394"/>
      <c r="Z228" s="394"/>
      <c r="AA228" s="394"/>
      <c r="AB228" s="120"/>
      <c r="AF228" s="120"/>
      <c r="AG228" s="120"/>
      <c r="AK228" s="403"/>
    </row>
    <row r="229" spans="4:37" x14ac:dyDescent="0.25">
      <c r="D229" s="403"/>
      <c r="E229" s="394"/>
      <c r="F229" s="394"/>
      <c r="G229" s="394"/>
      <c r="H229" s="403"/>
      <c r="I229" s="394"/>
      <c r="J229" s="394"/>
      <c r="K229" s="394"/>
      <c r="L229" s="403"/>
      <c r="M229" s="394"/>
      <c r="N229" s="394"/>
      <c r="O229" s="394"/>
      <c r="P229" s="403"/>
      <c r="Q229" s="394"/>
      <c r="R229" s="394"/>
      <c r="S229" s="394"/>
      <c r="T229" s="403"/>
      <c r="U229" s="394"/>
      <c r="V229" s="394"/>
      <c r="W229" s="394"/>
      <c r="X229" s="403"/>
      <c r="Y229" s="394"/>
      <c r="Z229" s="394"/>
      <c r="AA229" s="394"/>
      <c r="AB229" s="120"/>
      <c r="AF229" s="120"/>
      <c r="AG229" s="120"/>
      <c r="AK229" s="403"/>
    </row>
    <row r="230" spans="4:37" x14ac:dyDescent="0.25">
      <c r="D230" s="403"/>
      <c r="E230" s="394"/>
      <c r="F230" s="394"/>
      <c r="G230" s="394"/>
      <c r="H230" s="403"/>
      <c r="I230" s="394"/>
      <c r="J230" s="394"/>
      <c r="K230" s="394"/>
      <c r="L230" s="403"/>
      <c r="M230" s="394"/>
      <c r="N230" s="394"/>
      <c r="O230" s="394"/>
      <c r="P230" s="403"/>
      <c r="Q230" s="394"/>
      <c r="R230" s="394"/>
      <c r="S230" s="394"/>
      <c r="T230" s="403"/>
      <c r="U230" s="394"/>
      <c r="V230" s="394"/>
      <c r="W230" s="394"/>
      <c r="X230" s="403"/>
      <c r="Y230" s="394"/>
      <c r="Z230" s="394"/>
      <c r="AA230" s="394"/>
      <c r="AB230" s="120"/>
      <c r="AF230" s="120"/>
      <c r="AG230" s="120"/>
      <c r="AK230" s="403"/>
    </row>
    <row r="231" spans="4:37" x14ac:dyDescent="0.25">
      <c r="D231" s="403"/>
      <c r="E231" s="394"/>
      <c r="F231" s="394"/>
      <c r="G231" s="394"/>
      <c r="H231" s="403"/>
      <c r="I231" s="394"/>
      <c r="J231" s="394"/>
      <c r="K231" s="394"/>
      <c r="L231" s="403"/>
      <c r="M231" s="394"/>
      <c r="N231" s="394"/>
      <c r="O231" s="394"/>
      <c r="P231" s="403"/>
      <c r="Q231" s="394"/>
      <c r="R231" s="394"/>
      <c r="S231" s="394"/>
      <c r="T231" s="403"/>
      <c r="U231" s="394"/>
      <c r="V231" s="394"/>
      <c r="W231" s="394"/>
      <c r="X231" s="403"/>
      <c r="Y231" s="394"/>
      <c r="Z231" s="394"/>
      <c r="AA231" s="394"/>
      <c r="AB231" s="120"/>
      <c r="AF231" s="120"/>
      <c r="AG231" s="120"/>
      <c r="AK231" s="403"/>
    </row>
    <row r="232" spans="4:37" x14ac:dyDescent="0.25">
      <c r="D232" s="403"/>
      <c r="E232" s="394"/>
      <c r="F232" s="394"/>
      <c r="G232" s="394"/>
      <c r="H232" s="403"/>
      <c r="I232" s="394"/>
      <c r="J232" s="394"/>
      <c r="K232" s="394"/>
      <c r="L232" s="403"/>
      <c r="M232" s="394"/>
      <c r="N232" s="394"/>
      <c r="O232" s="394"/>
      <c r="P232" s="403"/>
      <c r="Q232" s="394"/>
      <c r="R232" s="394"/>
      <c r="S232" s="394"/>
      <c r="T232" s="403"/>
      <c r="U232" s="394"/>
      <c r="V232" s="394"/>
      <c r="W232" s="394"/>
      <c r="X232" s="403"/>
      <c r="Y232" s="394"/>
      <c r="Z232" s="394"/>
      <c r="AA232" s="394"/>
      <c r="AB232" s="120"/>
      <c r="AF232" s="120"/>
      <c r="AG232" s="120"/>
      <c r="AK232" s="403"/>
    </row>
    <row r="233" spans="4:37" x14ac:dyDescent="0.25">
      <c r="D233" s="403"/>
      <c r="E233" s="394"/>
      <c r="F233" s="394"/>
      <c r="G233" s="394"/>
      <c r="H233" s="403"/>
      <c r="I233" s="394"/>
      <c r="J233" s="394"/>
      <c r="K233" s="394"/>
      <c r="L233" s="403"/>
      <c r="M233" s="394"/>
      <c r="N233" s="394"/>
      <c r="O233" s="394"/>
      <c r="P233" s="403"/>
      <c r="Q233" s="394"/>
      <c r="R233" s="394"/>
      <c r="S233" s="394"/>
      <c r="T233" s="403"/>
      <c r="U233" s="394"/>
      <c r="V233" s="394"/>
      <c r="W233" s="394"/>
      <c r="X233" s="403"/>
      <c r="Y233" s="394"/>
      <c r="Z233" s="394"/>
      <c r="AA233" s="394"/>
      <c r="AB233" s="120"/>
      <c r="AF233" s="120"/>
      <c r="AG233" s="120"/>
      <c r="AK233" s="403"/>
    </row>
    <row r="234" spans="4:37" x14ac:dyDescent="0.25">
      <c r="D234" s="403"/>
      <c r="E234" s="394"/>
      <c r="F234" s="394"/>
      <c r="G234" s="394"/>
      <c r="H234" s="403"/>
      <c r="I234" s="394"/>
      <c r="J234" s="394"/>
      <c r="K234" s="394"/>
      <c r="L234" s="403"/>
      <c r="M234" s="394"/>
      <c r="N234" s="394"/>
      <c r="O234" s="394"/>
      <c r="P234" s="403"/>
      <c r="Q234" s="394"/>
      <c r="R234" s="394"/>
      <c r="S234" s="394"/>
      <c r="T234" s="403"/>
      <c r="U234" s="394"/>
      <c r="V234" s="394"/>
      <c r="W234" s="394"/>
      <c r="X234" s="403"/>
      <c r="Y234" s="394"/>
      <c r="Z234" s="394"/>
      <c r="AA234" s="394"/>
      <c r="AB234" s="120"/>
      <c r="AF234" s="120"/>
      <c r="AG234" s="120"/>
      <c r="AK234" s="403"/>
    </row>
    <row r="235" spans="4:37" x14ac:dyDescent="0.25">
      <c r="D235" s="403"/>
      <c r="E235" s="394"/>
      <c r="F235" s="394"/>
      <c r="G235" s="394"/>
      <c r="H235" s="403"/>
      <c r="I235" s="394"/>
      <c r="J235" s="394"/>
      <c r="K235" s="394"/>
      <c r="L235" s="403"/>
      <c r="M235" s="394"/>
      <c r="N235" s="394"/>
      <c r="O235" s="394"/>
      <c r="P235" s="403"/>
      <c r="Q235" s="394"/>
      <c r="R235" s="394"/>
      <c r="S235" s="394"/>
      <c r="T235" s="403"/>
      <c r="U235" s="394"/>
      <c r="V235" s="394"/>
      <c r="W235" s="394"/>
      <c r="X235" s="403"/>
      <c r="Y235" s="394"/>
      <c r="Z235" s="394"/>
      <c r="AA235" s="394"/>
      <c r="AB235" s="120"/>
      <c r="AF235" s="120"/>
      <c r="AG235" s="120"/>
      <c r="AK235" s="403"/>
    </row>
    <row r="236" spans="4:37" x14ac:dyDescent="0.25">
      <c r="D236" s="403"/>
      <c r="E236" s="394"/>
      <c r="F236" s="394"/>
      <c r="G236" s="394"/>
      <c r="H236" s="403"/>
      <c r="I236" s="394"/>
      <c r="J236" s="394"/>
      <c r="K236" s="394"/>
      <c r="L236" s="403"/>
      <c r="M236" s="394"/>
      <c r="N236" s="394"/>
      <c r="O236" s="394"/>
      <c r="P236" s="403"/>
      <c r="Q236" s="394"/>
      <c r="R236" s="394"/>
      <c r="S236" s="394"/>
      <c r="T236" s="403"/>
      <c r="U236" s="394"/>
      <c r="V236" s="394"/>
      <c r="W236" s="394"/>
      <c r="X236" s="403"/>
      <c r="Y236" s="394"/>
      <c r="Z236" s="394"/>
      <c r="AA236" s="394"/>
      <c r="AB236" s="120"/>
      <c r="AF236" s="120"/>
      <c r="AG236" s="120"/>
      <c r="AK236" s="403"/>
    </row>
    <row r="237" spans="4:37" x14ac:dyDescent="0.25">
      <c r="D237" s="403"/>
      <c r="E237" s="394"/>
      <c r="F237" s="394"/>
      <c r="G237" s="394"/>
      <c r="H237" s="403"/>
      <c r="I237" s="394"/>
      <c r="J237" s="394"/>
      <c r="K237" s="394"/>
      <c r="L237" s="403"/>
      <c r="M237" s="394"/>
      <c r="N237" s="394"/>
      <c r="O237" s="394"/>
      <c r="P237" s="403"/>
      <c r="Q237" s="394"/>
      <c r="R237" s="394"/>
      <c r="S237" s="394"/>
      <c r="T237" s="403"/>
      <c r="U237" s="394"/>
      <c r="V237" s="394"/>
      <c r="W237" s="394"/>
      <c r="X237" s="403"/>
      <c r="Y237" s="394"/>
      <c r="Z237" s="394"/>
      <c r="AA237" s="394"/>
      <c r="AB237" s="120"/>
      <c r="AF237" s="120"/>
      <c r="AG237" s="120"/>
      <c r="AK237" s="403"/>
    </row>
    <row r="238" spans="4:37" x14ac:dyDescent="0.25">
      <c r="D238" s="403"/>
      <c r="E238" s="394"/>
      <c r="F238" s="394"/>
      <c r="G238" s="394"/>
      <c r="H238" s="403"/>
      <c r="I238" s="394"/>
      <c r="J238" s="394"/>
      <c r="K238" s="394"/>
      <c r="L238" s="403"/>
      <c r="M238" s="394"/>
      <c r="N238" s="394"/>
      <c r="O238" s="394"/>
      <c r="P238" s="403"/>
      <c r="Q238" s="394"/>
      <c r="R238" s="394"/>
      <c r="S238" s="394"/>
      <c r="T238" s="403"/>
      <c r="U238" s="394"/>
      <c r="V238" s="394"/>
      <c r="W238" s="394"/>
      <c r="X238" s="403"/>
      <c r="Y238" s="394"/>
      <c r="Z238" s="394"/>
      <c r="AA238" s="394"/>
      <c r="AB238" s="120"/>
      <c r="AF238" s="120"/>
      <c r="AG238" s="120"/>
      <c r="AK238" s="403"/>
    </row>
    <row r="239" spans="4:37" x14ac:dyDescent="0.25">
      <c r="D239" s="403"/>
      <c r="E239" s="394"/>
      <c r="F239" s="394"/>
      <c r="G239" s="394"/>
      <c r="H239" s="403"/>
      <c r="I239" s="394"/>
      <c r="J239" s="394"/>
      <c r="K239" s="394"/>
      <c r="L239" s="403"/>
      <c r="M239" s="394"/>
      <c r="N239" s="394"/>
      <c r="O239" s="394"/>
      <c r="P239" s="403"/>
      <c r="Q239" s="394"/>
      <c r="R239" s="394"/>
      <c r="S239" s="394"/>
      <c r="T239" s="403"/>
      <c r="U239" s="394"/>
      <c r="V239" s="394"/>
      <c r="W239" s="394"/>
      <c r="X239" s="403"/>
      <c r="Y239" s="394"/>
      <c r="Z239" s="394"/>
      <c r="AA239" s="394"/>
      <c r="AB239" s="120"/>
      <c r="AF239" s="120"/>
      <c r="AG239" s="120"/>
      <c r="AK239" s="403"/>
    </row>
    <row r="240" spans="4:37" x14ac:dyDescent="0.25">
      <c r="D240" s="403"/>
      <c r="E240" s="394"/>
      <c r="F240" s="394"/>
      <c r="G240" s="394"/>
      <c r="H240" s="403"/>
      <c r="I240" s="394"/>
      <c r="J240" s="394"/>
      <c r="K240" s="394"/>
      <c r="L240" s="403"/>
      <c r="M240" s="394"/>
      <c r="N240" s="394"/>
      <c r="O240" s="394"/>
      <c r="P240" s="403"/>
      <c r="Q240" s="394"/>
      <c r="R240" s="394"/>
      <c r="S240" s="394"/>
      <c r="T240" s="403"/>
      <c r="U240" s="394"/>
      <c r="V240" s="394"/>
      <c r="W240" s="394"/>
      <c r="X240" s="403"/>
      <c r="Y240" s="394"/>
      <c r="Z240" s="394"/>
      <c r="AA240" s="394"/>
      <c r="AB240" s="120"/>
      <c r="AF240" s="120"/>
      <c r="AG240" s="120"/>
      <c r="AK240" s="403"/>
    </row>
    <row r="241" spans="4:37" x14ac:dyDescent="0.25">
      <c r="D241" s="403"/>
      <c r="E241" s="394"/>
      <c r="F241" s="394"/>
      <c r="G241" s="394"/>
      <c r="H241" s="403"/>
      <c r="I241" s="394"/>
      <c r="J241" s="394"/>
      <c r="K241" s="394"/>
      <c r="L241" s="403"/>
      <c r="M241" s="394"/>
      <c r="N241" s="394"/>
      <c r="O241" s="394"/>
      <c r="P241" s="403"/>
      <c r="Q241" s="394"/>
      <c r="R241" s="394"/>
      <c r="S241" s="394"/>
      <c r="T241" s="403"/>
      <c r="U241" s="394"/>
      <c r="V241" s="394"/>
      <c r="W241" s="394"/>
      <c r="X241" s="403"/>
      <c r="Y241" s="394"/>
      <c r="Z241" s="394"/>
      <c r="AA241" s="394"/>
      <c r="AB241" s="120"/>
      <c r="AF241" s="120"/>
      <c r="AG241" s="120"/>
      <c r="AK241" s="403"/>
    </row>
    <row r="242" spans="4:37" x14ac:dyDescent="0.25">
      <c r="D242" s="403"/>
      <c r="E242" s="394"/>
      <c r="F242" s="394"/>
      <c r="G242" s="394"/>
      <c r="H242" s="403"/>
      <c r="I242" s="394"/>
      <c r="J242" s="394"/>
      <c r="K242" s="394"/>
      <c r="L242" s="403"/>
      <c r="M242" s="394"/>
      <c r="N242" s="394"/>
      <c r="O242" s="394"/>
      <c r="P242" s="403"/>
      <c r="Q242" s="394"/>
      <c r="R242" s="394"/>
      <c r="S242" s="394"/>
      <c r="T242" s="403"/>
      <c r="U242" s="394"/>
      <c r="V242" s="394"/>
      <c r="W242" s="394"/>
      <c r="X242" s="403"/>
      <c r="Y242" s="394"/>
      <c r="Z242" s="394"/>
      <c r="AA242" s="394"/>
      <c r="AB242" s="120"/>
      <c r="AF242" s="120"/>
      <c r="AG242" s="120"/>
      <c r="AK242" s="403"/>
    </row>
    <row r="243" spans="4:37" x14ac:dyDescent="0.25">
      <c r="D243" s="403"/>
      <c r="E243" s="394"/>
      <c r="F243" s="394"/>
      <c r="G243" s="394"/>
      <c r="H243" s="403"/>
      <c r="I243" s="394"/>
      <c r="J243" s="394"/>
      <c r="K243" s="394"/>
      <c r="L243" s="403"/>
      <c r="M243" s="394"/>
      <c r="N243" s="394"/>
      <c r="O243" s="394"/>
      <c r="P243" s="403"/>
      <c r="Q243" s="394"/>
      <c r="R243" s="394"/>
      <c r="S243" s="394"/>
      <c r="T243" s="403"/>
      <c r="U243" s="394"/>
      <c r="V243" s="394"/>
      <c r="W243" s="394"/>
      <c r="X243" s="403"/>
      <c r="Y243" s="394"/>
      <c r="Z243" s="394"/>
      <c r="AA243" s="394"/>
      <c r="AB243" s="120"/>
      <c r="AF243" s="120"/>
      <c r="AG243" s="120"/>
      <c r="AK243" s="403"/>
    </row>
    <row r="244" spans="4:37" x14ac:dyDescent="0.25">
      <c r="D244" s="403"/>
      <c r="E244" s="394"/>
      <c r="F244" s="394"/>
      <c r="G244" s="394"/>
      <c r="H244" s="403"/>
      <c r="I244" s="394"/>
      <c r="J244" s="394"/>
      <c r="K244" s="394"/>
      <c r="L244" s="403"/>
      <c r="M244" s="394"/>
      <c r="N244" s="394"/>
      <c r="O244" s="394"/>
      <c r="P244" s="403"/>
      <c r="Q244" s="394"/>
      <c r="R244" s="394"/>
      <c r="S244" s="394"/>
      <c r="T244" s="403"/>
      <c r="U244" s="394"/>
      <c r="V244" s="394"/>
      <c r="W244" s="394"/>
      <c r="X244" s="403"/>
      <c r="Y244" s="394"/>
      <c r="Z244" s="394"/>
      <c r="AA244" s="394"/>
      <c r="AB244" s="120"/>
      <c r="AF244" s="120"/>
      <c r="AG244" s="120"/>
      <c r="AK244" s="403"/>
    </row>
    <row r="245" spans="4:37" x14ac:dyDescent="0.25">
      <c r="D245" s="403"/>
      <c r="E245" s="394"/>
      <c r="F245" s="394"/>
      <c r="G245" s="394"/>
      <c r="H245" s="403"/>
      <c r="I245" s="394"/>
      <c r="J245" s="394"/>
      <c r="K245" s="394"/>
      <c r="L245" s="403"/>
      <c r="M245" s="394"/>
      <c r="N245" s="394"/>
      <c r="O245" s="394"/>
      <c r="P245" s="403"/>
      <c r="Q245" s="394"/>
      <c r="R245" s="394"/>
      <c r="S245" s="394"/>
      <c r="T245" s="403"/>
      <c r="U245" s="394"/>
      <c r="V245" s="394"/>
      <c r="W245" s="394"/>
      <c r="X245" s="403"/>
      <c r="Y245" s="394"/>
      <c r="Z245" s="394"/>
      <c r="AA245" s="394"/>
      <c r="AB245" s="120"/>
      <c r="AF245" s="120"/>
      <c r="AG245" s="120"/>
      <c r="AK245" s="403"/>
    </row>
    <row r="246" spans="4:37" x14ac:dyDescent="0.25">
      <c r="D246" s="403"/>
      <c r="E246" s="394"/>
      <c r="F246" s="394"/>
      <c r="G246" s="394"/>
      <c r="H246" s="403"/>
      <c r="I246" s="394"/>
      <c r="J246" s="394"/>
      <c r="K246" s="394"/>
      <c r="L246" s="403"/>
      <c r="M246" s="394"/>
      <c r="N246" s="394"/>
      <c r="O246" s="394"/>
      <c r="P246" s="403"/>
      <c r="Q246" s="394"/>
      <c r="R246" s="394"/>
      <c r="S246" s="394"/>
      <c r="T246" s="403"/>
      <c r="U246" s="394"/>
      <c r="V246" s="394"/>
      <c r="W246" s="394"/>
      <c r="X246" s="403"/>
      <c r="Y246" s="394"/>
      <c r="Z246" s="394"/>
      <c r="AA246" s="394"/>
      <c r="AB246" s="120"/>
      <c r="AF246" s="120"/>
      <c r="AG246" s="120"/>
      <c r="AK246" s="403"/>
    </row>
    <row r="247" spans="4:37" x14ac:dyDescent="0.25">
      <c r="D247" s="403"/>
      <c r="E247" s="394"/>
      <c r="F247" s="394"/>
      <c r="G247" s="394"/>
      <c r="H247" s="403"/>
      <c r="I247" s="394"/>
      <c r="J247" s="394"/>
      <c r="K247" s="394"/>
      <c r="L247" s="403"/>
      <c r="M247" s="394"/>
      <c r="N247" s="394"/>
      <c r="O247" s="394"/>
      <c r="P247" s="403"/>
      <c r="Q247" s="394"/>
      <c r="R247" s="394"/>
      <c r="S247" s="394"/>
      <c r="T247" s="403"/>
      <c r="U247" s="394"/>
      <c r="V247" s="394"/>
      <c r="W247" s="394"/>
      <c r="X247" s="403"/>
      <c r="Y247" s="394"/>
      <c r="Z247" s="394"/>
      <c r="AA247" s="394"/>
      <c r="AB247" s="120"/>
      <c r="AF247" s="120"/>
      <c r="AG247" s="120"/>
      <c r="AK247" s="403"/>
    </row>
    <row r="248" spans="4:37" x14ac:dyDescent="0.25">
      <c r="D248" s="403"/>
      <c r="E248" s="394"/>
      <c r="F248" s="394"/>
      <c r="G248" s="394"/>
      <c r="H248" s="403"/>
      <c r="I248" s="394"/>
      <c r="J248" s="394"/>
      <c r="K248" s="394"/>
      <c r="L248" s="403"/>
      <c r="M248" s="394"/>
      <c r="N248" s="394"/>
      <c r="O248" s="394"/>
      <c r="P248" s="403"/>
      <c r="Q248" s="394"/>
      <c r="R248" s="394"/>
      <c r="S248" s="394"/>
      <c r="T248" s="403"/>
      <c r="U248" s="394"/>
      <c r="V248" s="394"/>
      <c r="W248" s="394"/>
      <c r="X248" s="403"/>
      <c r="Y248" s="394"/>
      <c r="Z248" s="394"/>
      <c r="AA248" s="394"/>
      <c r="AB248" s="120"/>
      <c r="AF248" s="120"/>
      <c r="AG248" s="120"/>
      <c r="AK248" s="403"/>
    </row>
    <row r="249" spans="4:37" x14ac:dyDescent="0.25">
      <c r="D249" s="403"/>
      <c r="E249" s="394"/>
      <c r="F249" s="394"/>
      <c r="G249" s="394"/>
      <c r="H249" s="403"/>
      <c r="I249" s="394"/>
      <c r="J249" s="394"/>
      <c r="K249" s="394"/>
      <c r="L249" s="403"/>
      <c r="M249" s="394"/>
      <c r="N249" s="394"/>
      <c r="O249" s="394"/>
      <c r="P249" s="403"/>
      <c r="Q249" s="394"/>
      <c r="R249" s="394"/>
      <c r="S249" s="394"/>
      <c r="T249" s="403"/>
      <c r="U249" s="394"/>
      <c r="V249" s="394"/>
      <c r="W249" s="394"/>
      <c r="X249" s="403"/>
      <c r="Y249" s="394"/>
      <c r="Z249" s="394"/>
      <c r="AA249" s="394"/>
      <c r="AB249" s="120"/>
      <c r="AF249" s="120"/>
      <c r="AG249" s="120"/>
      <c r="AK249" s="403"/>
    </row>
    <row r="250" spans="4:37" x14ac:dyDescent="0.25">
      <c r="D250" s="403"/>
      <c r="E250" s="394"/>
      <c r="F250" s="394"/>
      <c r="G250" s="394"/>
      <c r="H250" s="403"/>
      <c r="I250" s="394"/>
      <c r="J250" s="394"/>
      <c r="K250" s="394"/>
      <c r="L250" s="403"/>
      <c r="M250" s="394"/>
      <c r="N250" s="394"/>
      <c r="O250" s="394"/>
      <c r="P250" s="403"/>
      <c r="Q250" s="394"/>
      <c r="R250" s="394"/>
      <c r="S250" s="394"/>
      <c r="T250" s="403"/>
      <c r="U250" s="394"/>
      <c r="V250" s="394"/>
      <c r="W250" s="394"/>
      <c r="X250" s="403"/>
      <c r="Y250" s="394"/>
      <c r="Z250" s="394"/>
      <c r="AA250" s="394"/>
      <c r="AB250" s="120"/>
      <c r="AF250" s="120"/>
      <c r="AG250" s="120"/>
      <c r="AK250" s="403"/>
    </row>
    <row r="251" spans="4:37" x14ac:dyDescent="0.25">
      <c r="D251" s="403"/>
      <c r="E251" s="394"/>
      <c r="F251" s="394"/>
      <c r="G251" s="394"/>
      <c r="H251" s="403"/>
      <c r="I251" s="394"/>
      <c r="J251" s="394"/>
      <c r="K251" s="394"/>
      <c r="L251" s="403"/>
      <c r="M251" s="394"/>
      <c r="N251" s="394"/>
      <c r="O251" s="394"/>
      <c r="P251" s="403"/>
      <c r="Q251" s="394"/>
      <c r="R251" s="394"/>
      <c r="S251" s="394"/>
      <c r="T251" s="403"/>
      <c r="U251" s="394"/>
      <c r="V251" s="394"/>
      <c r="W251" s="394"/>
      <c r="X251" s="403"/>
      <c r="Y251" s="394"/>
      <c r="Z251" s="394"/>
      <c r="AA251" s="394"/>
      <c r="AB251" s="120"/>
      <c r="AF251" s="120"/>
      <c r="AG251" s="120"/>
      <c r="AK251" s="403"/>
    </row>
    <row r="252" spans="4:37" x14ac:dyDescent="0.25">
      <c r="D252" s="403"/>
      <c r="E252" s="394"/>
      <c r="F252" s="394"/>
      <c r="G252" s="394"/>
      <c r="H252" s="403"/>
      <c r="I252" s="394"/>
      <c r="J252" s="394"/>
      <c r="K252" s="394"/>
      <c r="L252" s="403"/>
      <c r="M252" s="394"/>
      <c r="N252" s="394"/>
      <c r="O252" s="394"/>
      <c r="P252" s="403"/>
      <c r="Q252" s="394"/>
      <c r="R252" s="394"/>
      <c r="S252" s="394"/>
      <c r="T252" s="403"/>
      <c r="U252" s="394"/>
      <c r="V252" s="394"/>
      <c r="W252" s="394"/>
      <c r="X252" s="403"/>
      <c r="Y252" s="394"/>
      <c r="Z252" s="394"/>
      <c r="AA252" s="394"/>
      <c r="AB252" s="120"/>
      <c r="AF252" s="120"/>
      <c r="AG252" s="120"/>
      <c r="AK252" s="403"/>
    </row>
    <row r="253" spans="4:37" x14ac:dyDescent="0.25">
      <c r="D253" s="403"/>
      <c r="E253" s="394"/>
      <c r="F253" s="394"/>
      <c r="G253" s="394"/>
      <c r="H253" s="403"/>
      <c r="I253" s="394"/>
      <c r="J253" s="394"/>
      <c r="K253" s="394"/>
      <c r="L253" s="403"/>
      <c r="M253" s="394"/>
      <c r="N253" s="394"/>
      <c r="O253" s="394"/>
      <c r="P253" s="403"/>
      <c r="Q253" s="394"/>
      <c r="R253" s="394"/>
      <c r="S253" s="394"/>
      <c r="T253" s="403"/>
      <c r="U253" s="394"/>
      <c r="V253" s="394"/>
      <c r="W253" s="394"/>
      <c r="X253" s="403"/>
      <c r="Y253" s="394"/>
      <c r="Z253" s="394"/>
      <c r="AA253" s="394"/>
      <c r="AB253" s="120"/>
      <c r="AF253" s="120"/>
      <c r="AG253" s="120"/>
      <c r="AK253" s="403"/>
    </row>
    <row r="254" spans="4:37" x14ac:dyDescent="0.25">
      <c r="D254" s="403"/>
      <c r="E254" s="394"/>
      <c r="F254" s="394"/>
      <c r="G254" s="394"/>
      <c r="H254" s="403"/>
      <c r="I254" s="394"/>
      <c r="J254" s="394"/>
      <c r="K254" s="394"/>
      <c r="L254" s="403"/>
      <c r="M254" s="394"/>
      <c r="N254" s="394"/>
      <c r="O254" s="394"/>
      <c r="P254" s="403"/>
      <c r="Q254" s="394"/>
      <c r="R254" s="394"/>
      <c r="S254" s="394"/>
      <c r="T254" s="403"/>
      <c r="U254" s="394"/>
      <c r="V254" s="394"/>
      <c r="W254" s="394"/>
      <c r="X254" s="403"/>
      <c r="Y254" s="394"/>
      <c r="Z254" s="394"/>
      <c r="AA254" s="394"/>
      <c r="AB254" s="120"/>
      <c r="AF254" s="120"/>
      <c r="AG254" s="120"/>
      <c r="AK254" s="403"/>
    </row>
    <row r="255" spans="4:37" x14ac:dyDescent="0.25">
      <c r="D255" s="403"/>
      <c r="E255" s="394"/>
      <c r="F255" s="394"/>
      <c r="G255" s="394"/>
      <c r="H255" s="403"/>
      <c r="I255" s="394"/>
      <c r="J255" s="394"/>
      <c r="K255" s="394"/>
      <c r="L255" s="403"/>
      <c r="M255" s="394"/>
      <c r="N255" s="394"/>
      <c r="O255" s="394"/>
      <c r="P255" s="403"/>
      <c r="Q255" s="394"/>
      <c r="R255" s="394"/>
      <c r="S255" s="394"/>
      <c r="T255" s="403"/>
      <c r="U255" s="394"/>
      <c r="V255" s="394"/>
      <c r="W255" s="394"/>
      <c r="X255" s="403"/>
      <c r="Y255" s="394"/>
      <c r="Z255" s="394"/>
      <c r="AA255" s="394"/>
      <c r="AB255" s="120"/>
      <c r="AF255" s="120"/>
      <c r="AG255" s="120"/>
      <c r="AK255" s="403"/>
    </row>
    <row r="256" spans="4:37" x14ac:dyDescent="0.25">
      <c r="D256" s="403"/>
      <c r="E256" s="394"/>
      <c r="F256" s="394"/>
      <c r="G256" s="394"/>
      <c r="H256" s="403"/>
      <c r="I256" s="394"/>
      <c r="J256" s="394"/>
      <c r="K256" s="394"/>
      <c r="L256" s="403"/>
      <c r="M256" s="394"/>
      <c r="N256" s="394"/>
      <c r="O256" s="394"/>
      <c r="P256" s="403"/>
      <c r="Q256" s="394"/>
      <c r="R256" s="394"/>
      <c r="S256" s="394"/>
      <c r="T256" s="403"/>
      <c r="U256" s="394"/>
      <c r="V256" s="394"/>
      <c r="W256" s="394"/>
      <c r="X256" s="403"/>
      <c r="Y256" s="394"/>
      <c r="Z256" s="394"/>
      <c r="AA256" s="394"/>
      <c r="AB256" s="120"/>
      <c r="AF256" s="120"/>
      <c r="AG256" s="120"/>
      <c r="AK256" s="403"/>
    </row>
    <row r="257" spans="4:37" x14ac:dyDescent="0.25">
      <c r="D257" s="403"/>
      <c r="E257" s="394"/>
      <c r="F257" s="394"/>
      <c r="G257" s="394"/>
      <c r="H257" s="403"/>
      <c r="I257" s="394"/>
      <c r="J257" s="394"/>
      <c r="K257" s="394"/>
      <c r="L257" s="403"/>
      <c r="M257" s="394"/>
      <c r="N257" s="394"/>
      <c r="O257" s="394"/>
      <c r="P257" s="403"/>
      <c r="Q257" s="394"/>
      <c r="R257" s="394"/>
      <c r="S257" s="394"/>
      <c r="T257" s="403"/>
      <c r="U257" s="394"/>
      <c r="V257" s="394"/>
      <c r="W257" s="394"/>
      <c r="X257" s="403"/>
      <c r="Y257" s="394"/>
      <c r="Z257" s="394"/>
      <c r="AA257" s="394"/>
      <c r="AB257" s="120"/>
      <c r="AF257" s="120"/>
      <c r="AG257" s="120"/>
      <c r="AK257" s="403"/>
    </row>
    <row r="258" spans="4:37" x14ac:dyDescent="0.25">
      <c r="D258" s="403"/>
      <c r="E258" s="394"/>
      <c r="F258" s="394"/>
      <c r="G258" s="394"/>
      <c r="H258" s="403"/>
      <c r="I258" s="394"/>
      <c r="J258" s="394"/>
      <c r="K258" s="394"/>
      <c r="L258" s="403"/>
      <c r="M258" s="394"/>
      <c r="N258" s="394"/>
      <c r="O258" s="394"/>
      <c r="P258" s="403"/>
      <c r="Q258" s="394"/>
      <c r="R258" s="394"/>
      <c r="S258" s="394"/>
      <c r="T258" s="403"/>
      <c r="U258" s="394"/>
      <c r="V258" s="394"/>
      <c r="W258" s="394"/>
      <c r="X258" s="403"/>
      <c r="Y258" s="394"/>
      <c r="Z258" s="394"/>
      <c r="AA258" s="394"/>
      <c r="AB258" s="120"/>
      <c r="AF258" s="120"/>
      <c r="AG258" s="120"/>
      <c r="AK258" s="403"/>
    </row>
    <row r="259" spans="4:37" x14ac:dyDescent="0.25">
      <c r="D259" s="403"/>
      <c r="E259" s="394"/>
      <c r="F259" s="394"/>
      <c r="G259" s="394"/>
      <c r="H259" s="403"/>
      <c r="I259" s="394"/>
      <c r="J259" s="394"/>
      <c r="K259" s="394"/>
      <c r="L259" s="403"/>
      <c r="M259" s="394"/>
      <c r="N259" s="394"/>
      <c r="O259" s="394"/>
      <c r="P259" s="403"/>
      <c r="Q259" s="394"/>
      <c r="R259" s="394"/>
      <c r="S259" s="394"/>
      <c r="T259" s="403"/>
      <c r="U259" s="394"/>
      <c r="V259" s="394"/>
      <c r="W259" s="394"/>
      <c r="X259" s="403"/>
      <c r="Y259" s="394"/>
      <c r="Z259" s="394"/>
      <c r="AA259" s="394"/>
      <c r="AB259" s="120"/>
      <c r="AF259" s="120"/>
      <c r="AG259" s="120"/>
      <c r="AK259" s="403"/>
    </row>
    <row r="260" spans="4:37" x14ac:dyDescent="0.25">
      <c r="D260" s="403"/>
      <c r="E260" s="394"/>
      <c r="F260" s="394"/>
      <c r="G260" s="394"/>
      <c r="H260" s="403"/>
      <c r="I260" s="394"/>
      <c r="J260" s="394"/>
      <c r="K260" s="394"/>
      <c r="L260" s="403"/>
      <c r="M260" s="394"/>
      <c r="N260" s="394"/>
      <c r="O260" s="394"/>
      <c r="P260" s="403"/>
      <c r="Q260" s="394"/>
      <c r="R260" s="394"/>
      <c r="S260" s="394"/>
      <c r="T260" s="403"/>
      <c r="U260" s="394"/>
      <c r="V260" s="394"/>
      <c r="W260" s="394"/>
      <c r="X260" s="403"/>
      <c r="Y260" s="394"/>
      <c r="Z260" s="394"/>
      <c r="AA260" s="394"/>
      <c r="AB260" s="120"/>
      <c r="AF260" s="120"/>
      <c r="AG260" s="120"/>
      <c r="AK260" s="403"/>
    </row>
    <row r="261" spans="4:37" x14ac:dyDescent="0.25">
      <c r="D261" s="403"/>
      <c r="E261" s="394"/>
      <c r="F261" s="394"/>
      <c r="G261" s="394"/>
      <c r="H261" s="403"/>
      <c r="I261" s="394"/>
      <c r="J261" s="394"/>
      <c r="K261" s="394"/>
      <c r="L261" s="403"/>
      <c r="M261" s="394"/>
      <c r="N261" s="394"/>
      <c r="O261" s="394"/>
      <c r="P261" s="403"/>
      <c r="Q261" s="394"/>
      <c r="R261" s="394"/>
      <c r="S261" s="394"/>
      <c r="T261" s="403"/>
      <c r="U261" s="394"/>
      <c r="V261" s="394"/>
      <c r="W261" s="394"/>
      <c r="X261" s="403"/>
      <c r="Y261" s="394"/>
      <c r="Z261" s="394"/>
      <c r="AA261" s="394"/>
      <c r="AB261" s="120"/>
      <c r="AF261" s="120"/>
      <c r="AG261" s="120"/>
      <c r="AK261" s="403"/>
    </row>
    <row r="262" spans="4:37" x14ac:dyDescent="0.25">
      <c r="D262" s="403"/>
      <c r="E262" s="394"/>
      <c r="F262" s="394"/>
      <c r="G262" s="394"/>
      <c r="H262" s="403"/>
      <c r="I262" s="394"/>
      <c r="J262" s="394"/>
      <c r="K262" s="394"/>
      <c r="L262" s="403"/>
      <c r="M262" s="394"/>
      <c r="N262" s="394"/>
      <c r="O262" s="394"/>
      <c r="P262" s="403"/>
      <c r="Q262" s="394"/>
      <c r="R262" s="394"/>
      <c r="S262" s="394"/>
      <c r="T262" s="403"/>
      <c r="U262" s="394"/>
      <c r="V262" s="394"/>
      <c r="W262" s="394"/>
      <c r="X262" s="403"/>
      <c r="Y262" s="394"/>
      <c r="Z262" s="394"/>
      <c r="AA262" s="394"/>
      <c r="AB262" s="120"/>
      <c r="AF262" s="120"/>
      <c r="AG262" s="120"/>
      <c r="AK262" s="403"/>
    </row>
    <row r="263" spans="4:37" x14ac:dyDescent="0.25">
      <c r="D263" s="403"/>
      <c r="E263" s="394"/>
      <c r="F263" s="394"/>
      <c r="G263" s="394"/>
      <c r="H263" s="403"/>
      <c r="I263" s="394"/>
      <c r="J263" s="394"/>
      <c r="K263" s="394"/>
      <c r="L263" s="403"/>
      <c r="M263" s="394"/>
      <c r="N263" s="394"/>
      <c r="O263" s="394"/>
      <c r="P263" s="403"/>
      <c r="Q263" s="394"/>
      <c r="R263" s="394"/>
      <c r="S263" s="394"/>
      <c r="T263" s="403"/>
      <c r="U263" s="394"/>
      <c r="V263" s="394"/>
      <c r="W263" s="394"/>
      <c r="X263" s="403"/>
      <c r="Y263" s="394"/>
      <c r="Z263" s="394"/>
      <c r="AA263" s="394"/>
      <c r="AB263" s="120"/>
      <c r="AF263" s="120"/>
      <c r="AG263" s="120"/>
      <c r="AK263" s="403"/>
    </row>
    <row r="264" spans="4:37" x14ac:dyDescent="0.25">
      <c r="D264" s="403"/>
      <c r="E264" s="394"/>
      <c r="F264" s="394"/>
      <c r="G264" s="394"/>
      <c r="H264" s="403"/>
      <c r="I264" s="394"/>
      <c r="J264" s="394"/>
      <c r="K264" s="394"/>
      <c r="L264" s="403"/>
      <c r="M264" s="394"/>
      <c r="N264" s="394"/>
      <c r="O264" s="394"/>
      <c r="P264" s="403"/>
      <c r="Q264" s="394"/>
      <c r="R264" s="394"/>
      <c r="S264" s="394"/>
      <c r="T264" s="403"/>
      <c r="U264" s="394"/>
      <c r="V264" s="394"/>
      <c r="W264" s="394"/>
      <c r="X264" s="403"/>
      <c r="Y264" s="394"/>
      <c r="Z264" s="394"/>
      <c r="AA264" s="394"/>
      <c r="AB264" s="120"/>
      <c r="AF264" s="120"/>
      <c r="AG264" s="120"/>
      <c r="AK264" s="403"/>
    </row>
    <row r="265" spans="4:37" x14ac:dyDescent="0.25">
      <c r="D265" s="403"/>
      <c r="E265" s="394"/>
      <c r="F265" s="394"/>
      <c r="G265" s="394"/>
      <c r="H265" s="403"/>
      <c r="I265" s="394"/>
      <c r="J265" s="394"/>
      <c r="K265" s="394"/>
      <c r="L265" s="403"/>
      <c r="M265" s="394"/>
      <c r="N265" s="394"/>
      <c r="O265" s="394"/>
      <c r="P265" s="403"/>
      <c r="Q265" s="394"/>
      <c r="R265" s="394"/>
      <c r="S265" s="394"/>
      <c r="T265" s="403"/>
      <c r="U265" s="394"/>
      <c r="V265" s="394"/>
      <c r="W265" s="394"/>
      <c r="X265" s="403"/>
      <c r="Y265" s="394"/>
      <c r="Z265" s="394"/>
      <c r="AA265" s="394"/>
      <c r="AB265" s="120"/>
      <c r="AF265" s="120"/>
      <c r="AG265" s="120"/>
      <c r="AK265" s="403"/>
    </row>
    <row r="266" spans="4:37" x14ac:dyDescent="0.25">
      <c r="D266" s="403"/>
      <c r="E266" s="394"/>
      <c r="F266" s="394"/>
      <c r="G266" s="394"/>
      <c r="H266" s="403"/>
      <c r="I266" s="394"/>
      <c r="J266" s="394"/>
      <c r="K266" s="394"/>
      <c r="L266" s="403"/>
      <c r="M266" s="394"/>
      <c r="N266" s="394"/>
      <c r="O266" s="394"/>
      <c r="P266" s="403"/>
      <c r="Q266" s="394"/>
      <c r="R266" s="394"/>
      <c r="S266" s="394"/>
      <c r="T266" s="403"/>
      <c r="U266" s="394"/>
      <c r="V266" s="394"/>
      <c r="W266" s="394"/>
      <c r="X266" s="403"/>
      <c r="Y266" s="394"/>
      <c r="Z266" s="394"/>
      <c r="AA266" s="394"/>
      <c r="AB266" s="120"/>
      <c r="AF266" s="120"/>
      <c r="AG266" s="120"/>
      <c r="AK266" s="403"/>
    </row>
    <row r="267" spans="4:37" x14ac:dyDescent="0.25">
      <c r="D267" s="403"/>
      <c r="E267" s="394"/>
      <c r="F267" s="394"/>
      <c r="G267" s="394"/>
      <c r="H267" s="403"/>
      <c r="I267" s="394"/>
      <c r="J267" s="394"/>
      <c r="K267" s="394"/>
      <c r="L267" s="403"/>
      <c r="M267" s="394"/>
      <c r="N267" s="394"/>
      <c r="O267" s="394"/>
      <c r="P267" s="403"/>
      <c r="Q267" s="394"/>
      <c r="R267" s="394"/>
      <c r="S267" s="394"/>
      <c r="T267" s="403"/>
      <c r="U267" s="394"/>
      <c r="V267" s="394"/>
      <c r="W267" s="394"/>
      <c r="X267" s="403"/>
      <c r="Y267" s="394"/>
      <c r="Z267" s="394"/>
      <c r="AA267" s="394"/>
      <c r="AB267" s="120"/>
      <c r="AF267" s="120"/>
      <c r="AG267" s="120"/>
      <c r="AK267" s="403"/>
    </row>
    <row r="268" spans="4:37" x14ac:dyDescent="0.25">
      <c r="D268" s="403"/>
      <c r="E268" s="394"/>
      <c r="F268" s="394"/>
      <c r="G268" s="394"/>
      <c r="H268" s="403"/>
      <c r="I268" s="394"/>
      <c r="J268" s="394"/>
      <c r="K268" s="394"/>
      <c r="L268" s="403"/>
      <c r="M268" s="394"/>
      <c r="N268" s="394"/>
      <c r="O268" s="394"/>
      <c r="P268" s="403"/>
      <c r="Q268" s="394"/>
      <c r="R268" s="394"/>
      <c r="S268" s="394"/>
      <c r="T268" s="403"/>
      <c r="U268" s="394"/>
      <c r="V268" s="394"/>
      <c r="W268" s="394"/>
      <c r="X268" s="403"/>
      <c r="Y268" s="394"/>
      <c r="Z268" s="394"/>
      <c r="AA268" s="394"/>
      <c r="AB268" s="120"/>
      <c r="AF268" s="120"/>
      <c r="AG268" s="120"/>
      <c r="AK268" s="403"/>
    </row>
    <row r="269" spans="4:37" x14ac:dyDescent="0.25">
      <c r="D269" s="403"/>
      <c r="E269" s="394"/>
      <c r="F269" s="394"/>
      <c r="G269" s="394"/>
      <c r="H269" s="403"/>
      <c r="I269" s="394"/>
      <c r="J269" s="394"/>
      <c r="K269" s="394"/>
      <c r="L269" s="403"/>
      <c r="M269" s="394"/>
      <c r="N269" s="394"/>
      <c r="O269" s="394"/>
      <c r="P269" s="403"/>
      <c r="Q269" s="394"/>
      <c r="R269" s="394"/>
      <c r="S269" s="394"/>
      <c r="T269" s="403"/>
      <c r="U269" s="394"/>
      <c r="V269" s="394"/>
      <c r="W269" s="394"/>
      <c r="X269" s="403"/>
      <c r="Y269" s="394"/>
      <c r="Z269" s="394"/>
      <c r="AA269" s="394"/>
      <c r="AB269" s="120"/>
      <c r="AF269" s="120"/>
      <c r="AG269" s="120"/>
      <c r="AK269" s="403"/>
    </row>
    <row r="270" spans="4:37" x14ac:dyDescent="0.25">
      <c r="D270" s="403"/>
      <c r="E270" s="394"/>
      <c r="F270" s="394"/>
      <c r="G270" s="394"/>
      <c r="H270" s="403"/>
      <c r="I270" s="394"/>
      <c r="J270" s="394"/>
      <c r="K270" s="394"/>
      <c r="L270" s="403"/>
      <c r="M270" s="394"/>
      <c r="N270" s="394"/>
      <c r="O270" s="394"/>
      <c r="P270" s="403"/>
      <c r="Q270" s="394"/>
      <c r="R270" s="394"/>
      <c r="S270" s="394"/>
      <c r="T270" s="403"/>
      <c r="U270" s="394"/>
      <c r="V270" s="394"/>
      <c r="W270" s="394"/>
      <c r="X270" s="403"/>
      <c r="Y270" s="394"/>
      <c r="Z270" s="394"/>
      <c r="AA270" s="394"/>
      <c r="AB270" s="120"/>
      <c r="AF270" s="120"/>
      <c r="AG270" s="120"/>
      <c r="AK270" s="403"/>
    </row>
    <row r="271" spans="4:37" x14ac:dyDescent="0.25">
      <c r="D271" s="403"/>
      <c r="E271" s="394"/>
      <c r="F271" s="394"/>
      <c r="G271" s="394"/>
      <c r="H271" s="403"/>
      <c r="I271" s="394"/>
      <c r="J271" s="394"/>
      <c r="K271" s="394"/>
      <c r="L271" s="403"/>
      <c r="M271" s="394"/>
      <c r="N271" s="394"/>
      <c r="O271" s="394"/>
      <c r="P271" s="403"/>
      <c r="Q271" s="394"/>
      <c r="R271" s="394"/>
      <c r="S271" s="394"/>
      <c r="T271" s="403"/>
      <c r="U271" s="394"/>
      <c r="V271" s="394"/>
      <c r="W271" s="394"/>
      <c r="X271" s="403"/>
      <c r="Y271" s="394"/>
      <c r="Z271" s="394"/>
      <c r="AA271" s="394"/>
      <c r="AB271" s="120"/>
      <c r="AF271" s="120"/>
      <c r="AG271" s="120"/>
      <c r="AK271" s="403"/>
    </row>
    <row r="272" spans="4:37" x14ac:dyDescent="0.25">
      <c r="D272" s="403"/>
      <c r="E272" s="394"/>
      <c r="F272" s="394"/>
      <c r="G272" s="394"/>
      <c r="H272" s="403"/>
      <c r="I272" s="394"/>
      <c r="J272" s="394"/>
      <c r="K272" s="394"/>
      <c r="L272" s="403"/>
      <c r="M272" s="394"/>
      <c r="N272" s="394"/>
      <c r="O272" s="394"/>
      <c r="P272" s="403"/>
      <c r="Q272" s="394"/>
      <c r="R272" s="394"/>
      <c r="S272" s="394"/>
      <c r="T272" s="403"/>
      <c r="U272" s="394"/>
      <c r="V272" s="394"/>
      <c r="W272" s="394"/>
      <c r="X272" s="403"/>
      <c r="Y272" s="394"/>
      <c r="Z272" s="394"/>
      <c r="AA272" s="394"/>
      <c r="AB272" s="120"/>
      <c r="AF272" s="120"/>
      <c r="AG272" s="120"/>
      <c r="AK272" s="403"/>
    </row>
    <row r="273" spans="4:37" x14ac:dyDescent="0.25">
      <c r="D273" s="403"/>
      <c r="E273" s="394"/>
      <c r="F273" s="394"/>
      <c r="G273" s="394"/>
      <c r="H273" s="403"/>
      <c r="I273" s="394"/>
      <c r="J273" s="394"/>
      <c r="K273" s="394"/>
      <c r="L273" s="403"/>
      <c r="M273" s="394"/>
      <c r="N273" s="394"/>
      <c r="O273" s="394"/>
      <c r="P273" s="403"/>
      <c r="Q273" s="394"/>
      <c r="R273" s="394"/>
      <c r="S273" s="394"/>
      <c r="T273" s="403"/>
      <c r="U273" s="394"/>
      <c r="V273" s="394"/>
      <c r="W273" s="394"/>
      <c r="X273" s="403"/>
      <c r="Y273" s="394"/>
      <c r="Z273" s="394"/>
      <c r="AA273" s="394"/>
      <c r="AB273" s="120"/>
      <c r="AF273" s="120"/>
      <c r="AG273" s="120"/>
      <c r="AK273" s="403"/>
    </row>
    <row r="274" spans="4:37" x14ac:dyDescent="0.25">
      <c r="D274" s="403"/>
      <c r="E274" s="394"/>
      <c r="F274" s="394"/>
      <c r="G274" s="394"/>
      <c r="H274" s="403"/>
      <c r="I274" s="394"/>
      <c r="J274" s="394"/>
      <c r="K274" s="394"/>
      <c r="L274" s="403"/>
      <c r="M274" s="394"/>
      <c r="N274" s="394"/>
      <c r="O274" s="394"/>
      <c r="P274" s="403"/>
      <c r="Q274" s="394"/>
      <c r="R274" s="394"/>
      <c r="S274" s="394"/>
      <c r="T274" s="403"/>
      <c r="U274" s="394"/>
      <c r="V274" s="394"/>
      <c r="W274" s="394"/>
      <c r="X274" s="403"/>
      <c r="Y274" s="394"/>
      <c r="Z274" s="394"/>
      <c r="AA274" s="394"/>
      <c r="AB274" s="120"/>
      <c r="AF274" s="120"/>
      <c r="AG274" s="120"/>
      <c r="AK274" s="403"/>
    </row>
    <row r="275" spans="4:37" x14ac:dyDescent="0.25">
      <c r="D275" s="403"/>
      <c r="E275" s="394"/>
      <c r="F275" s="394"/>
      <c r="G275" s="394"/>
      <c r="H275" s="403"/>
      <c r="I275" s="394"/>
      <c r="J275" s="394"/>
      <c r="K275" s="394"/>
      <c r="L275" s="403"/>
      <c r="M275" s="394"/>
      <c r="N275" s="394"/>
      <c r="O275" s="394"/>
      <c r="P275" s="403"/>
      <c r="Q275" s="394"/>
      <c r="R275" s="394"/>
      <c r="S275" s="394"/>
      <c r="T275" s="403"/>
      <c r="U275" s="394"/>
      <c r="V275" s="394"/>
      <c r="W275" s="394"/>
      <c r="X275" s="403"/>
      <c r="Y275" s="394"/>
      <c r="Z275" s="394"/>
      <c r="AA275" s="394"/>
      <c r="AB275" s="120"/>
      <c r="AF275" s="120"/>
      <c r="AG275" s="120"/>
      <c r="AK275" s="403"/>
    </row>
    <row r="276" spans="4:37" x14ac:dyDescent="0.25">
      <c r="D276" s="403"/>
      <c r="E276" s="394"/>
      <c r="F276" s="394"/>
      <c r="G276" s="394"/>
      <c r="H276" s="403"/>
      <c r="I276" s="394"/>
      <c r="J276" s="394"/>
      <c r="K276" s="394"/>
      <c r="L276" s="403"/>
      <c r="M276" s="394"/>
      <c r="N276" s="394"/>
      <c r="O276" s="394"/>
      <c r="P276" s="403"/>
      <c r="Q276" s="394"/>
      <c r="R276" s="394"/>
      <c r="S276" s="394"/>
      <c r="T276" s="403"/>
      <c r="U276" s="394"/>
      <c r="V276" s="394"/>
      <c r="W276" s="394"/>
      <c r="X276" s="403"/>
      <c r="Y276" s="394"/>
      <c r="Z276" s="394"/>
      <c r="AA276" s="394"/>
      <c r="AB276" s="120"/>
      <c r="AF276" s="120"/>
      <c r="AG276" s="120"/>
      <c r="AK276" s="403"/>
    </row>
    <row r="277" spans="4:37" x14ac:dyDescent="0.25">
      <c r="D277" s="403"/>
      <c r="E277" s="394"/>
      <c r="F277" s="394"/>
      <c r="G277" s="394"/>
      <c r="H277" s="403"/>
      <c r="I277" s="394"/>
      <c r="J277" s="394"/>
      <c r="K277" s="394"/>
      <c r="L277" s="403"/>
      <c r="M277" s="394"/>
      <c r="N277" s="394"/>
      <c r="O277" s="394"/>
      <c r="P277" s="403"/>
      <c r="Q277" s="394"/>
      <c r="R277" s="394"/>
      <c r="S277" s="394"/>
      <c r="T277" s="403"/>
      <c r="U277" s="394"/>
      <c r="V277" s="394"/>
      <c r="W277" s="394"/>
      <c r="X277" s="403"/>
      <c r="Y277" s="394"/>
      <c r="Z277" s="394"/>
      <c r="AA277" s="394"/>
      <c r="AB277" s="120"/>
      <c r="AF277" s="120"/>
      <c r="AG277" s="120"/>
      <c r="AK277" s="403"/>
    </row>
    <row r="278" spans="4:37" x14ac:dyDescent="0.25">
      <c r="D278" s="403"/>
      <c r="E278" s="394"/>
      <c r="F278" s="394"/>
      <c r="G278" s="394"/>
      <c r="H278" s="403"/>
      <c r="I278" s="394"/>
      <c r="J278" s="394"/>
      <c r="K278" s="394"/>
      <c r="L278" s="403"/>
      <c r="M278" s="394"/>
      <c r="N278" s="394"/>
      <c r="O278" s="394"/>
      <c r="P278" s="403"/>
      <c r="Q278" s="394"/>
      <c r="R278" s="394"/>
      <c r="S278" s="394"/>
      <c r="T278" s="403"/>
      <c r="U278" s="394"/>
      <c r="V278" s="394"/>
      <c r="W278" s="394"/>
      <c r="X278" s="403"/>
      <c r="Y278" s="394"/>
      <c r="Z278" s="394"/>
      <c r="AA278" s="394"/>
      <c r="AB278" s="120"/>
      <c r="AF278" s="120"/>
      <c r="AG278" s="120"/>
      <c r="AK278" s="403"/>
    </row>
    <row r="279" spans="4:37" x14ac:dyDescent="0.25">
      <c r="D279" s="403"/>
      <c r="E279" s="394"/>
      <c r="F279" s="394"/>
      <c r="G279" s="394"/>
      <c r="H279" s="403"/>
      <c r="I279" s="394"/>
      <c r="J279" s="394"/>
      <c r="K279" s="394"/>
      <c r="L279" s="403"/>
      <c r="M279" s="394"/>
      <c r="N279" s="394"/>
      <c r="O279" s="394"/>
      <c r="P279" s="403"/>
      <c r="Q279" s="394"/>
      <c r="R279" s="394"/>
      <c r="S279" s="394"/>
      <c r="T279" s="403"/>
      <c r="U279" s="394"/>
      <c r="V279" s="394"/>
      <c r="W279" s="394"/>
      <c r="X279" s="403"/>
      <c r="Y279" s="394"/>
      <c r="Z279" s="394"/>
      <c r="AA279" s="394"/>
      <c r="AB279" s="120"/>
      <c r="AF279" s="120"/>
      <c r="AG279" s="120"/>
      <c r="AK279" s="403"/>
    </row>
    <row r="280" spans="4:37" x14ac:dyDescent="0.25">
      <c r="D280" s="403"/>
      <c r="E280" s="394"/>
      <c r="F280" s="394"/>
      <c r="G280" s="394"/>
      <c r="H280" s="403"/>
      <c r="I280" s="394"/>
      <c r="J280" s="394"/>
      <c r="K280" s="394"/>
      <c r="L280" s="403"/>
      <c r="M280" s="394"/>
      <c r="N280" s="394"/>
      <c r="O280" s="394"/>
      <c r="P280" s="403"/>
      <c r="Q280" s="394"/>
      <c r="R280" s="394"/>
      <c r="S280" s="394"/>
      <c r="T280" s="403"/>
      <c r="U280" s="394"/>
      <c r="V280" s="394"/>
      <c r="W280" s="394"/>
      <c r="X280" s="403"/>
      <c r="Y280" s="394"/>
      <c r="Z280" s="394"/>
      <c r="AA280" s="394"/>
      <c r="AB280" s="120"/>
      <c r="AF280" s="120"/>
      <c r="AG280" s="120"/>
      <c r="AK280" s="403"/>
    </row>
    <row r="281" spans="4:37" x14ac:dyDescent="0.25">
      <c r="D281" s="403"/>
      <c r="E281" s="394"/>
      <c r="F281" s="394"/>
      <c r="G281" s="394"/>
      <c r="H281" s="403"/>
      <c r="I281" s="394"/>
      <c r="J281" s="394"/>
      <c r="K281" s="394"/>
      <c r="L281" s="403"/>
      <c r="M281" s="394"/>
      <c r="N281" s="394"/>
      <c r="O281" s="394"/>
      <c r="P281" s="403"/>
      <c r="Q281" s="394"/>
      <c r="R281" s="394"/>
      <c r="S281" s="394"/>
      <c r="T281" s="403"/>
      <c r="U281" s="394"/>
      <c r="V281" s="394"/>
      <c r="W281" s="394"/>
      <c r="X281" s="403"/>
      <c r="Y281" s="394"/>
      <c r="Z281" s="394"/>
      <c r="AA281" s="394"/>
      <c r="AB281" s="120"/>
      <c r="AF281" s="120"/>
      <c r="AG281" s="120"/>
      <c r="AK281" s="403"/>
    </row>
    <row r="282" spans="4:37" x14ac:dyDescent="0.25">
      <c r="D282" s="403"/>
      <c r="E282" s="394"/>
      <c r="F282" s="394"/>
      <c r="G282" s="394"/>
      <c r="H282" s="403"/>
      <c r="I282" s="394"/>
      <c r="J282" s="394"/>
      <c r="K282" s="394"/>
      <c r="L282" s="403"/>
      <c r="M282" s="394"/>
      <c r="N282" s="394"/>
      <c r="O282" s="394"/>
      <c r="P282" s="403"/>
      <c r="Q282" s="394"/>
      <c r="R282" s="394"/>
      <c r="S282" s="394"/>
      <c r="T282" s="403"/>
      <c r="U282" s="394"/>
      <c r="V282" s="394"/>
      <c r="W282" s="394"/>
      <c r="X282" s="403"/>
      <c r="Y282" s="394"/>
      <c r="Z282" s="394"/>
      <c r="AA282" s="394"/>
      <c r="AB282" s="120"/>
      <c r="AF282" s="120"/>
      <c r="AG282" s="120"/>
      <c r="AK282" s="403"/>
    </row>
    <row r="283" spans="4:37" x14ac:dyDescent="0.25">
      <c r="D283" s="403"/>
      <c r="E283" s="394"/>
      <c r="F283" s="394"/>
      <c r="G283" s="394"/>
      <c r="H283" s="403"/>
      <c r="I283" s="394"/>
      <c r="J283" s="394"/>
      <c r="K283" s="394"/>
      <c r="L283" s="403"/>
      <c r="M283" s="394"/>
      <c r="N283" s="394"/>
      <c r="O283" s="394"/>
      <c r="P283" s="403"/>
      <c r="Q283" s="394"/>
      <c r="R283" s="394"/>
      <c r="S283" s="394"/>
      <c r="T283" s="403"/>
      <c r="U283" s="394"/>
      <c r="V283" s="394"/>
      <c r="W283" s="394"/>
      <c r="X283" s="403"/>
      <c r="Y283" s="394"/>
      <c r="Z283" s="394"/>
      <c r="AA283" s="394"/>
      <c r="AB283" s="120"/>
      <c r="AF283" s="120"/>
      <c r="AG283" s="120"/>
      <c r="AK283" s="403"/>
    </row>
    <row r="284" spans="4:37" x14ac:dyDescent="0.25">
      <c r="D284" s="403"/>
      <c r="E284" s="394"/>
      <c r="F284" s="394"/>
      <c r="G284" s="394"/>
      <c r="H284" s="403"/>
      <c r="I284" s="394"/>
      <c r="J284" s="394"/>
      <c r="K284" s="394"/>
      <c r="L284" s="403"/>
      <c r="M284" s="394"/>
      <c r="N284" s="394"/>
      <c r="O284" s="394"/>
      <c r="P284" s="403"/>
      <c r="Q284" s="394"/>
      <c r="R284" s="394"/>
      <c r="S284" s="394"/>
      <c r="T284" s="403"/>
      <c r="U284" s="394"/>
      <c r="V284" s="394"/>
      <c r="W284" s="394"/>
      <c r="X284" s="403"/>
      <c r="Y284" s="394"/>
      <c r="Z284" s="394"/>
      <c r="AA284" s="394"/>
      <c r="AB284" s="120"/>
      <c r="AF284" s="120"/>
      <c r="AG284" s="120"/>
      <c r="AK284" s="403"/>
    </row>
    <row r="285" spans="4:37" x14ac:dyDescent="0.25">
      <c r="D285" s="403"/>
      <c r="E285" s="394"/>
      <c r="F285" s="394"/>
      <c r="G285" s="394"/>
      <c r="H285" s="403"/>
      <c r="I285" s="394"/>
      <c r="J285" s="394"/>
      <c r="K285" s="394"/>
      <c r="L285" s="403"/>
      <c r="M285" s="394"/>
      <c r="N285" s="394"/>
      <c r="O285" s="394"/>
      <c r="P285" s="403"/>
      <c r="Q285" s="394"/>
      <c r="R285" s="394"/>
      <c r="S285" s="394"/>
      <c r="T285" s="403"/>
      <c r="U285" s="394"/>
      <c r="V285" s="394"/>
      <c r="W285" s="394"/>
      <c r="X285" s="403"/>
      <c r="Y285" s="394"/>
      <c r="Z285" s="394"/>
      <c r="AA285" s="394"/>
      <c r="AB285" s="120"/>
      <c r="AF285" s="120"/>
      <c r="AG285" s="120"/>
      <c r="AK285" s="403"/>
    </row>
    <row r="286" spans="4:37" x14ac:dyDescent="0.25">
      <c r="D286" s="403"/>
      <c r="E286" s="394"/>
      <c r="F286" s="394"/>
      <c r="G286" s="394"/>
      <c r="H286" s="403"/>
      <c r="I286" s="394"/>
      <c r="J286" s="394"/>
      <c r="K286" s="394"/>
      <c r="L286" s="403"/>
      <c r="M286" s="394"/>
      <c r="N286" s="394"/>
      <c r="O286" s="394"/>
      <c r="P286" s="403"/>
      <c r="Q286" s="394"/>
      <c r="R286" s="394"/>
      <c r="S286" s="394"/>
      <c r="T286" s="403"/>
      <c r="U286" s="394"/>
      <c r="V286" s="394"/>
      <c r="W286" s="394"/>
      <c r="X286" s="403"/>
      <c r="Y286" s="394"/>
      <c r="Z286" s="394"/>
      <c r="AA286" s="394"/>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row r="388" spans="4:37" x14ac:dyDescent="0.25">
      <c r="D388" s="120"/>
      <c r="H388" s="120"/>
      <c r="L388" s="120"/>
      <c r="P388" s="120"/>
      <c r="T388" s="120"/>
      <c r="X388" s="120"/>
      <c r="AB388" s="120"/>
      <c r="AF388" s="120"/>
      <c r="AG388" s="120"/>
      <c r="AK388" s="403"/>
    </row>
    <row r="389" spans="4:37" x14ac:dyDescent="0.25">
      <c r="D389" s="120"/>
      <c r="H389" s="120"/>
      <c r="L389" s="120"/>
      <c r="P389" s="120"/>
      <c r="T389" s="120"/>
      <c r="X389" s="120"/>
      <c r="AB389" s="120"/>
      <c r="AF389" s="120"/>
      <c r="AG389" s="120"/>
      <c r="AK389" s="403"/>
    </row>
    <row r="390" spans="4:37" x14ac:dyDescent="0.25">
      <c r="D390" s="120"/>
      <c r="H390" s="120"/>
      <c r="L390" s="120"/>
      <c r="P390" s="120"/>
      <c r="T390" s="120"/>
      <c r="X390" s="120"/>
      <c r="AB390" s="120"/>
      <c r="AF390" s="120"/>
      <c r="AG390" s="120"/>
      <c r="AK390" s="403"/>
    </row>
    <row r="391" spans="4:37" x14ac:dyDescent="0.25">
      <c r="D391" s="120"/>
      <c r="H391" s="120"/>
      <c r="L391" s="120"/>
      <c r="P391" s="120"/>
      <c r="T391" s="120"/>
      <c r="X391" s="120"/>
      <c r="AB391" s="120"/>
      <c r="AF391" s="120"/>
      <c r="AG391" s="120"/>
      <c r="AK391" s="403"/>
    </row>
    <row r="392" spans="4:37" x14ac:dyDescent="0.25">
      <c r="D392" s="120"/>
      <c r="H392" s="120"/>
      <c r="L392" s="120"/>
      <c r="P392" s="120"/>
      <c r="T392" s="120"/>
      <c r="X392" s="120"/>
      <c r="AB392" s="120"/>
      <c r="AF392" s="120"/>
      <c r="AG392" s="120"/>
      <c r="AK392" s="403"/>
    </row>
    <row r="393" spans="4:37" x14ac:dyDescent="0.25">
      <c r="D393" s="120"/>
      <c r="H393" s="120"/>
      <c r="L393" s="120"/>
      <c r="P393" s="120"/>
      <c r="T393" s="120"/>
      <c r="X393" s="120"/>
      <c r="AB393" s="120"/>
      <c r="AF393" s="120"/>
      <c r="AG393" s="120"/>
      <c r="AK393" s="403"/>
    </row>
    <row r="394" spans="4:37" x14ac:dyDescent="0.25">
      <c r="D394" s="120"/>
      <c r="H394" s="120"/>
      <c r="L394" s="120"/>
      <c r="P394" s="120"/>
      <c r="T394" s="120"/>
      <c r="X394" s="120"/>
      <c r="AB394" s="120"/>
      <c r="AF394" s="120"/>
      <c r="AG394" s="120"/>
      <c r="AK394" s="403"/>
    </row>
    <row r="395" spans="4:37" x14ac:dyDescent="0.25">
      <c r="D395" s="120"/>
      <c r="H395" s="120"/>
      <c r="L395" s="120"/>
      <c r="P395" s="120"/>
      <c r="T395" s="120"/>
      <c r="X395" s="120"/>
      <c r="AB395" s="120"/>
      <c r="AF395" s="120"/>
      <c r="AG395" s="120"/>
      <c r="AK395" s="403"/>
    </row>
    <row r="396" spans="4:37" x14ac:dyDescent="0.25">
      <c r="D396" s="120"/>
      <c r="H396" s="120"/>
      <c r="L396" s="120"/>
      <c r="P396" s="120"/>
      <c r="T396" s="120"/>
      <c r="X396" s="120"/>
      <c r="AB396" s="120"/>
      <c r="AF396" s="120"/>
      <c r="AG396" s="120"/>
      <c r="AK396" s="403"/>
    </row>
    <row r="397" spans="4:37" x14ac:dyDescent="0.25">
      <c r="D397" s="120"/>
      <c r="H397" s="120"/>
      <c r="L397" s="120"/>
      <c r="P397" s="120"/>
      <c r="T397" s="120"/>
      <c r="X397" s="120"/>
      <c r="AB397" s="120"/>
      <c r="AF397" s="120"/>
      <c r="AG397" s="120"/>
      <c r="AK397" s="403"/>
    </row>
    <row r="398" spans="4:37" x14ac:dyDescent="0.25">
      <c r="D398" s="120"/>
      <c r="H398" s="120"/>
      <c r="L398" s="120"/>
      <c r="P398" s="120"/>
      <c r="T398" s="120"/>
      <c r="X398" s="120"/>
      <c r="AB398" s="120"/>
      <c r="AF398" s="120"/>
      <c r="AG398" s="120"/>
      <c r="AK398" s="403"/>
    </row>
    <row r="399" spans="4:37" x14ac:dyDescent="0.25">
      <c r="D399" s="120"/>
      <c r="H399" s="120"/>
      <c r="L399" s="120"/>
      <c r="P399" s="120"/>
      <c r="T399" s="120"/>
      <c r="X399" s="120"/>
      <c r="AB399" s="120"/>
      <c r="AF399" s="120"/>
      <c r="AG399" s="120"/>
      <c r="AK399" s="403"/>
    </row>
    <row r="400" spans="4:37" x14ac:dyDescent="0.25">
      <c r="D400" s="120"/>
      <c r="H400" s="120"/>
      <c r="L400" s="120"/>
      <c r="P400" s="120"/>
      <c r="T400" s="120"/>
      <c r="X400" s="120"/>
      <c r="AB400" s="120"/>
      <c r="AF400" s="120"/>
      <c r="AG400" s="120"/>
      <c r="AK400" s="403"/>
    </row>
    <row r="401" spans="4:37" x14ac:dyDescent="0.25">
      <c r="D401" s="120"/>
      <c r="H401" s="120"/>
      <c r="L401" s="120"/>
      <c r="P401" s="120"/>
      <c r="T401" s="120"/>
      <c r="X401" s="120"/>
      <c r="AB401" s="120"/>
      <c r="AF401" s="120"/>
      <c r="AG401" s="120"/>
      <c r="AK401" s="403"/>
    </row>
    <row r="402" spans="4:37" x14ac:dyDescent="0.25">
      <c r="D402" s="120"/>
      <c r="H402" s="120"/>
      <c r="L402" s="120"/>
      <c r="P402" s="120"/>
      <c r="T402" s="120"/>
      <c r="X402" s="120"/>
      <c r="AB402" s="120"/>
      <c r="AF402" s="120"/>
      <c r="AG402" s="120"/>
      <c r="AK402" s="403"/>
    </row>
    <row r="403" spans="4:37" x14ac:dyDescent="0.25">
      <c r="D403" s="120"/>
      <c r="H403" s="120"/>
      <c r="L403" s="120"/>
      <c r="P403" s="120"/>
      <c r="T403" s="120"/>
      <c r="X403" s="120"/>
      <c r="AB403" s="120"/>
      <c r="AF403" s="120"/>
      <c r="AG403" s="120"/>
      <c r="AK403" s="403"/>
    </row>
    <row r="404" spans="4:37" x14ac:dyDescent="0.25">
      <c r="D404" s="120"/>
      <c r="H404" s="120"/>
      <c r="L404" s="120"/>
      <c r="P404" s="120"/>
      <c r="T404" s="120"/>
      <c r="X404" s="120"/>
      <c r="AB404" s="120"/>
      <c r="AF404" s="120"/>
      <c r="AG404" s="120"/>
      <c r="AK404" s="403"/>
    </row>
    <row r="405" spans="4:37" x14ac:dyDescent="0.25">
      <c r="D405" s="120"/>
      <c r="H405" s="120"/>
      <c r="L405" s="120"/>
      <c r="P405" s="120"/>
      <c r="T405" s="120"/>
      <c r="X405" s="120"/>
      <c r="AB405" s="120"/>
      <c r="AF405" s="120"/>
      <c r="AG405" s="120"/>
      <c r="AK405" s="403"/>
    </row>
    <row r="406" spans="4:37" x14ac:dyDescent="0.25">
      <c r="D406" s="120"/>
      <c r="H406" s="120"/>
      <c r="L406" s="120"/>
      <c r="P406" s="120"/>
      <c r="T406" s="120"/>
      <c r="X406" s="120"/>
      <c r="AB406" s="120"/>
      <c r="AF406" s="120"/>
      <c r="AG406" s="120"/>
      <c r="AK406" s="403"/>
    </row>
    <row r="407" spans="4:37" x14ac:dyDescent="0.25">
      <c r="D407" s="120"/>
      <c r="H407" s="120"/>
      <c r="L407" s="120"/>
      <c r="P407" s="120"/>
      <c r="T407" s="120"/>
      <c r="X407" s="120"/>
      <c r="AB407" s="120"/>
      <c r="AF407" s="120"/>
      <c r="AG407" s="120"/>
      <c r="AK407" s="403"/>
    </row>
    <row r="408" spans="4:37" x14ac:dyDescent="0.25">
      <c r="D408" s="120"/>
      <c r="H408" s="120"/>
      <c r="L408" s="120"/>
      <c r="P408" s="120"/>
      <c r="T408" s="120"/>
      <c r="X408" s="120"/>
      <c r="AB408" s="120"/>
      <c r="AF408" s="120"/>
      <c r="AG408" s="120"/>
      <c r="AK408" s="403"/>
    </row>
    <row r="409" spans="4:37" x14ac:dyDescent="0.25">
      <c r="D409" s="120"/>
      <c r="H409" s="120"/>
      <c r="L409" s="120"/>
      <c r="P409" s="120"/>
      <c r="T409" s="120"/>
      <c r="X409" s="120"/>
      <c r="AB409" s="120"/>
      <c r="AF409" s="120"/>
      <c r="AG409" s="120"/>
      <c r="AK409" s="403"/>
    </row>
    <row r="410" spans="4:37" x14ac:dyDescent="0.25">
      <c r="D410" s="120"/>
      <c r="H410" s="120"/>
      <c r="L410" s="120"/>
      <c r="P410" s="120"/>
      <c r="T410" s="120"/>
      <c r="X410" s="120"/>
      <c r="AB410" s="120"/>
      <c r="AF410" s="120"/>
      <c r="AG410" s="120"/>
      <c r="AK410" s="403"/>
    </row>
    <row r="411" spans="4:37" x14ac:dyDescent="0.25">
      <c r="D411" s="120"/>
      <c r="H411" s="120"/>
      <c r="L411" s="120"/>
      <c r="P411" s="120"/>
      <c r="T411" s="120"/>
      <c r="X411" s="120"/>
      <c r="AB411" s="120"/>
      <c r="AF411" s="120"/>
      <c r="AG411" s="120"/>
      <c r="AK411" s="403"/>
    </row>
    <row r="412" spans="4:37" x14ac:dyDescent="0.25">
      <c r="D412" s="120"/>
      <c r="H412" s="120"/>
      <c r="L412" s="120"/>
      <c r="P412" s="120"/>
      <c r="T412" s="120"/>
      <c r="X412" s="120"/>
      <c r="AB412" s="120"/>
      <c r="AF412" s="120"/>
      <c r="AG412" s="120"/>
      <c r="AK412" s="403"/>
    </row>
    <row r="413" spans="4:37" x14ac:dyDescent="0.25">
      <c r="D413" s="120"/>
      <c r="H413" s="120"/>
      <c r="L413" s="120"/>
      <c r="P413" s="120"/>
      <c r="T413" s="120"/>
      <c r="X413" s="120"/>
      <c r="AB413" s="120"/>
      <c r="AF413" s="120"/>
      <c r="AG413" s="120"/>
      <c r="AK413" s="403"/>
    </row>
    <row r="414" spans="4:37" x14ac:dyDescent="0.25">
      <c r="D414" s="120"/>
      <c r="H414" s="120"/>
      <c r="L414" s="120"/>
      <c r="P414" s="120"/>
      <c r="T414" s="120"/>
      <c r="X414" s="120"/>
      <c r="AB414" s="120"/>
      <c r="AF414" s="120"/>
      <c r="AG414" s="120"/>
      <c r="AK414" s="403"/>
    </row>
    <row r="415" spans="4:37" x14ac:dyDescent="0.25">
      <c r="D415" s="120"/>
      <c r="H415" s="120"/>
      <c r="L415" s="120"/>
      <c r="P415" s="120"/>
      <c r="T415" s="120"/>
      <c r="X415" s="120"/>
      <c r="AB415" s="120"/>
      <c r="AF415" s="120"/>
      <c r="AG415" s="120"/>
      <c r="AK415" s="403"/>
    </row>
    <row r="416" spans="4:37" x14ac:dyDescent="0.25">
      <c r="D416" s="120"/>
      <c r="H416" s="120"/>
      <c r="L416" s="120"/>
      <c r="P416" s="120"/>
      <c r="T416" s="120"/>
      <c r="X416" s="120"/>
      <c r="AB416" s="120"/>
      <c r="AF416" s="120"/>
      <c r="AG416" s="120"/>
      <c r="AK416" s="403"/>
    </row>
    <row r="417" spans="4:37" x14ac:dyDescent="0.25">
      <c r="D417" s="120"/>
      <c r="H417" s="120"/>
      <c r="L417" s="120"/>
      <c r="P417" s="120"/>
      <c r="T417" s="120"/>
      <c r="X417" s="120"/>
      <c r="AB417" s="120"/>
      <c r="AF417" s="120"/>
      <c r="AG417" s="120"/>
      <c r="AK417" s="403"/>
    </row>
    <row r="418" spans="4:37" x14ac:dyDescent="0.25">
      <c r="D418" s="120"/>
      <c r="H418" s="120"/>
      <c r="L418" s="120"/>
      <c r="P418" s="120"/>
      <c r="T418" s="120"/>
      <c r="X418" s="120"/>
      <c r="AB418" s="120"/>
      <c r="AF418" s="120"/>
      <c r="AG418" s="120"/>
      <c r="AK418" s="403"/>
    </row>
    <row r="419" spans="4:37" x14ac:dyDescent="0.25">
      <c r="D419" s="120"/>
      <c r="H419" s="120"/>
      <c r="L419" s="120"/>
      <c r="P419" s="120"/>
      <c r="T419" s="120"/>
      <c r="X419" s="120"/>
      <c r="AB419" s="120"/>
      <c r="AF419" s="120"/>
      <c r="AG419" s="120"/>
      <c r="AK419" s="403"/>
    </row>
    <row r="420" spans="4:37" x14ac:dyDescent="0.25">
      <c r="D420" s="120"/>
      <c r="H420" s="120"/>
      <c r="L420" s="120"/>
      <c r="P420" s="120"/>
      <c r="T420" s="120"/>
      <c r="X420" s="120"/>
      <c r="AB420" s="120"/>
      <c r="AF420" s="120"/>
      <c r="AG420" s="120"/>
      <c r="AK420" s="403"/>
    </row>
    <row r="421" spans="4:37" x14ac:dyDescent="0.25">
      <c r="D421" s="120"/>
      <c r="H421" s="120"/>
      <c r="L421" s="120"/>
      <c r="P421" s="120"/>
      <c r="T421" s="120"/>
      <c r="X421" s="120"/>
      <c r="AB421" s="120"/>
      <c r="AF421" s="120"/>
      <c r="AG421" s="120"/>
      <c r="AK421" s="403"/>
    </row>
    <row r="422" spans="4:37" x14ac:dyDescent="0.25">
      <c r="D422" s="120"/>
      <c r="H422" s="120"/>
      <c r="L422" s="120"/>
      <c r="P422" s="120"/>
      <c r="T422" s="120"/>
      <c r="X422" s="120"/>
      <c r="AB422" s="120"/>
      <c r="AF422" s="120"/>
      <c r="AG422" s="120"/>
      <c r="AK422" s="403"/>
    </row>
    <row r="423" spans="4:37" x14ac:dyDescent="0.25">
      <c r="D423" s="120"/>
      <c r="H423" s="120"/>
      <c r="L423" s="120"/>
      <c r="P423" s="120"/>
      <c r="T423" s="120"/>
      <c r="X423" s="120"/>
      <c r="AB423" s="120"/>
      <c r="AF423" s="120"/>
      <c r="AG423" s="120"/>
      <c r="AK423" s="403"/>
    </row>
    <row r="424" spans="4:37" x14ac:dyDescent="0.25">
      <c r="D424" s="120"/>
      <c r="H424" s="120"/>
      <c r="L424" s="120"/>
      <c r="P424" s="120"/>
      <c r="T424" s="120"/>
      <c r="X424" s="120"/>
      <c r="AB424" s="120"/>
      <c r="AF424" s="120"/>
      <c r="AG424" s="120"/>
      <c r="AK424" s="403"/>
    </row>
    <row r="425" spans="4:37" x14ac:dyDescent="0.25">
      <c r="D425" s="120"/>
      <c r="H425" s="120"/>
      <c r="L425" s="120"/>
      <c r="P425" s="120"/>
      <c r="T425" s="120"/>
      <c r="X425" s="120"/>
      <c r="AB425" s="120"/>
      <c r="AF425" s="120"/>
      <c r="AG425" s="120"/>
      <c r="AK425" s="403"/>
    </row>
  </sheetData>
  <sortState xmlns:xlrd2="http://schemas.microsoft.com/office/spreadsheetml/2017/richdata2" ref="A32:AP48">
    <sortCondition ref="B32:B48"/>
  </sortState>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66" fitToHeight="2" orientation="landscape" r:id="rId1"/>
  <headerFooter alignWithMargins="0">
    <oddHeader>&amp;C&amp;"-,Bold"Proposed Budget &amp; Analysis Report for FY20</oddHeader>
    <oddFooter>&amp;C&amp;D&amp;T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AV378"/>
  <sheetViews>
    <sheetView zoomScaleNormal="100" zoomScaleSheetLayoutView="100" workbookViewId="0">
      <selection activeCell="C15" sqref="C15"/>
    </sheetView>
  </sheetViews>
  <sheetFormatPr defaultRowHeight="13.5" x14ac:dyDescent="0.25"/>
  <cols>
    <col min="1" max="1" width="19" style="161" customWidth="1"/>
    <col min="2" max="2" width="5" style="125" customWidth="1"/>
    <col min="3" max="3" width="40.85546875" style="161" customWidth="1"/>
    <col min="4" max="4" width="13.28515625" style="211" hidden="1" customWidth="1"/>
    <col min="5" max="5" width="11.42578125" style="211" hidden="1" customWidth="1"/>
    <col min="6" max="6" width="9.5703125" style="211" hidden="1" customWidth="1"/>
    <col min="7" max="7" width="1.42578125" style="213" hidden="1" customWidth="1"/>
    <col min="8" max="8" width="13.28515625" style="211" hidden="1" customWidth="1"/>
    <col min="9" max="9" width="11.42578125" style="211" hidden="1" customWidth="1"/>
    <col min="10" max="10" width="9.5703125" style="211" hidden="1" customWidth="1"/>
    <col min="11" max="11" width="1.42578125" style="213" hidden="1" customWidth="1"/>
    <col min="12" max="12" width="13.28515625" style="211" hidden="1" customWidth="1"/>
    <col min="13" max="13" width="11.42578125" style="211" hidden="1" customWidth="1"/>
    <col min="14" max="14" width="9.5703125" style="211" hidden="1" customWidth="1"/>
    <col min="15" max="15" width="1.42578125" style="213" hidden="1" customWidth="1"/>
    <col min="16" max="16" width="13.28515625" style="211" hidden="1" customWidth="1"/>
    <col min="17" max="17" width="11.42578125" style="211" hidden="1" customWidth="1"/>
    <col min="18" max="18" width="9.5703125" style="211" hidden="1" customWidth="1"/>
    <col min="19" max="19" width="1.42578125" style="213" hidden="1" customWidth="1"/>
    <col min="20" max="20" width="13.28515625" style="161" hidden="1" customWidth="1"/>
    <col min="21" max="21" width="11.42578125" style="161" hidden="1" customWidth="1"/>
    <col min="22" max="22" width="9.5703125" style="161" hidden="1" customWidth="1"/>
    <col min="23" max="23" width="1.42578125" style="103" hidden="1" customWidth="1"/>
    <col min="24" max="25" width="11.5703125" style="161" hidden="1" customWidth="1"/>
    <col min="26" max="26" width="13.28515625" style="161" hidden="1" customWidth="1"/>
    <col min="27" max="27" width="1.42578125" style="103" hidden="1" customWidth="1"/>
    <col min="28" max="29" width="11.5703125" style="161" customWidth="1"/>
    <col min="30" max="30" width="9.28515625" style="161" bestFit="1" customWidth="1"/>
    <col min="31" max="31" width="1.42578125" style="213"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1.42578125" style="397" customWidth="1"/>
    <col min="41" max="41" width="13.5703125" style="104" customWidth="1"/>
    <col min="42" max="42" width="11.7109375" style="104" customWidth="1"/>
    <col min="43" max="43" width="10.5703125" style="161" bestFit="1" customWidth="1"/>
    <col min="44" max="44" width="25.7109375" style="161" customWidth="1"/>
    <col min="45" max="16384" width="9.140625" style="161"/>
  </cols>
  <sheetData>
    <row r="3" spans="1:44" s="111" customFormat="1" ht="12.75" x14ac:dyDescent="0.2">
      <c r="B3" s="151"/>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1982</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A5" s="161" t="s">
        <v>272</v>
      </c>
      <c r="C5" s="111" t="s">
        <v>276</v>
      </c>
      <c r="AO5" s="103"/>
      <c r="AP5" s="103"/>
      <c r="AR5" s="111"/>
    </row>
    <row r="6" spans="1:44" x14ac:dyDescent="0.25">
      <c r="A6" s="161" t="s">
        <v>614</v>
      </c>
      <c r="B6" s="205" t="str">
        <f t="shared" ref="B6:B11" si="0">MID(A6,14,4)</f>
        <v>5127</v>
      </c>
      <c r="C6" s="161" t="s">
        <v>1864</v>
      </c>
      <c r="D6" s="245">
        <v>21378</v>
      </c>
      <c r="E6" s="245">
        <v>21378</v>
      </c>
      <c r="F6" s="216"/>
      <c r="H6" s="245">
        <v>21934</v>
      </c>
      <c r="I6" s="245">
        <v>21934</v>
      </c>
      <c r="J6" s="216"/>
      <c r="L6" s="245">
        <v>22594.77</v>
      </c>
      <c r="M6" s="245">
        <v>22594.78</v>
      </c>
      <c r="N6" s="216"/>
      <c r="P6" s="245">
        <v>23137.040000000001</v>
      </c>
      <c r="Q6" s="245">
        <v>23045.88</v>
      </c>
      <c r="R6" s="216"/>
      <c r="T6" s="162">
        <v>23479.040000000001</v>
      </c>
      <c r="U6" s="162">
        <v>23479.040000000001</v>
      </c>
      <c r="V6" s="80"/>
      <c r="X6" s="162">
        <v>23875.39</v>
      </c>
      <c r="Y6" s="162">
        <v>23875.39</v>
      </c>
      <c r="Z6" s="80">
        <v>1.6881013874502471E-2</v>
      </c>
      <c r="AB6" s="162">
        <v>23783.360000000001</v>
      </c>
      <c r="AC6" s="162">
        <v>23783.360000000001</v>
      </c>
      <c r="AD6" s="80">
        <f t="shared" ref="AD6:AD12" si="1">(AB6-X6)/X6</f>
        <v>-3.8545967207236757E-3</v>
      </c>
      <c r="AF6" s="245">
        <v>24259.95</v>
      </c>
      <c r="AG6" s="380">
        <v>25023.64</v>
      </c>
      <c r="AH6" s="245">
        <v>25023.64</v>
      </c>
      <c r="AI6" s="216">
        <f t="shared" ref="AI6:AI12" si="2">(AG6-AB6)/AB6</f>
        <v>5.2149065565168205E-2</v>
      </c>
      <c r="AJ6" s="80"/>
      <c r="AK6" s="398">
        <v>25500.22</v>
      </c>
      <c r="AL6" s="398">
        <v>12212.75</v>
      </c>
      <c r="AM6" s="396">
        <f t="shared" ref="AM6:AM12" si="3">(AK6-AG6)/AG6</f>
        <v>1.9045190867515747E-2</v>
      </c>
      <c r="AO6" s="163">
        <f>'FY20 Payroll Schedule'!J74</f>
        <v>26057.196000000004</v>
      </c>
      <c r="AP6" s="245">
        <f t="shared" ref="AP6:AP11" si="4">AO6-AK6</f>
        <v>556.97600000000239</v>
      </c>
      <c r="AQ6" s="396">
        <f>AP6/AK6</f>
        <v>2.1842007637581259E-2</v>
      </c>
      <c r="AR6" s="246"/>
    </row>
    <row r="7" spans="1:44" s="566" customFormat="1" x14ac:dyDescent="0.25">
      <c r="A7" s="568" t="s">
        <v>2113</v>
      </c>
      <c r="B7" s="205" t="str">
        <f t="shared" si="0"/>
        <v>5108</v>
      </c>
      <c r="C7" s="566" t="s">
        <v>2110</v>
      </c>
      <c r="D7" s="567"/>
      <c r="E7" s="567"/>
      <c r="F7" s="396"/>
      <c r="G7" s="397"/>
      <c r="H7" s="567"/>
      <c r="I7" s="567"/>
      <c r="J7" s="396"/>
      <c r="K7" s="397"/>
      <c r="L7" s="567"/>
      <c r="M7" s="567"/>
      <c r="N7" s="396"/>
      <c r="O7" s="397"/>
      <c r="P7" s="567"/>
      <c r="Q7" s="567"/>
      <c r="R7" s="396"/>
      <c r="S7" s="397"/>
      <c r="T7" s="567"/>
      <c r="U7" s="567"/>
      <c r="V7" s="396"/>
      <c r="W7" s="397"/>
      <c r="X7" s="567"/>
      <c r="Y7" s="567"/>
      <c r="Z7" s="396"/>
      <c r="AA7" s="397"/>
      <c r="AB7" s="567"/>
      <c r="AC7" s="567"/>
      <c r="AD7" s="396"/>
      <c r="AE7" s="397"/>
      <c r="AF7" s="567"/>
      <c r="AG7" s="380"/>
      <c r="AH7" s="567"/>
      <c r="AI7" s="396"/>
      <c r="AJ7" s="396"/>
      <c r="AK7" s="567"/>
      <c r="AL7" s="567"/>
      <c r="AM7" s="396"/>
      <c r="AN7" s="397"/>
      <c r="AO7" s="523">
        <f>'FY20 Payroll Schedule'!J75</f>
        <v>2540.0520000000001</v>
      </c>
      <c r="AP7" s="567">
        <f t="shared" si="4"/>
        <v>2540.0520000000001</v>
      </c>
      <c r="AQ7" s="396"/>
      <c r="AR7" s="524" t="s">
        <v>2160</v>
      </c>
    </row>
    <row r="8" spans="1:44" ht="14.25" x14ac:dyDescent="0.3">
      <c r="A8" s="161" t="s">
        <v>615</v>
      </c>
      <c r="B8" s="205" t="str">
        <f t="shared" si="0"/>
        <v>5142</v>
      </c>
      <c r="C8" s="161" t="s">
        <v>1455</v>
      </c>
      <c r="D8" s="245">
        <v>856</v>
      </c>
      <c r="E8" s="245">
        <v>856</v>
      </c>
      <c r="F8" s="216"/>
      <c r="H8" s="245">
        <v>877</v>
      </c>
      <c r="I8" s="245">
        <v>877</v>
      </c>
      <c r="J8" s="216"/>
      <c r="L8" s="245">
        <v>903.79</v>
      </c>
      <c r="M8" s="245">
        <v>903.79</v>
      </c>
      <c r="N8" s="216"/>
      <c r="P8" s="245">
        <v>925.48</v>
      </c>
      <c r="Q8" s="245">
        <v>925.48</v>
      </c>
      <c r="R8" s="216"/>
      <c r="T8" s="245">
        <v>939.16</v>
      </c>
      <c r="U8" s="245">
        <v>939.16</v>
      </c>
      <c r="V8" s="216"/>
      <c r="W8" s="213"/>
      <c r="X8" s="245">
        <v>955.02</v>
      </c>
      <c r="Y8" s="245">
        <v>955.02</v>
      </c>
      <c r="Z8" s="216">
        <v>1.6887431321606559E-2</v>
      </c>
      <c r="AA8" s="213"/>
      <c r="AB8" s="245">
        <v>951.33</v>
      </c>
      <c r="AC8" s="245">
        <v>951.33</v>
      </c>
      <c r="AD8" s="216">
        <f t="shared" si="1"/>
        <v>-3.8637934284098145E-3</v>
      </c>
      <c r="AF8" s="245">
        <v>970.4</v>
      </c>
      <c r="AG8" s="393">
        <v>1000.95</v>
      </c>
      <c r="AH8" s="245">
        <v>970.4</v>
      </c>
      <c r="AI8" s="216">
        <f t="shared" si="2"/>
        <v>5.2158556967613762E-2</v>
      </c>
      <c r="AJ8" s="80"/>
      <c r="AK8" s="398">
        <v>1020.01</v>
      </c>
      <c r="AL8" s="398">
        <v>1020.01</v>
      </c>
      <c r="AM8" s="396">
        <f t="shared" si="3"/>
        <v>1.9041910185323887E-2</v>
      </c>
      <c r="AO8" s="163">
        <f>'FY20 Payroll Schedule'!K74</f>
        <v>1042.2878400000002</v>
      </c>
      <c r="AP8" s="567">
        <f t="shared" si="4"/>
        <v>22.277840000000197</v>
      </c>
      <c r="AQ8" s="396">
        <f>AP8/AK8</f>
        <v>2.1840805482299386E-2</v>
      </c>
      <c r="AR8" s="288" t="s">
        <v>1202</v>
      </c>
    </row>
    <row r="9" spans="1:44" s="211" customFormat="1" x14ac:dyDescent="0.25">
      <c r="A9" s="211" t="s">
        <v>616</v>
      </c>
      <c r="B9" s="214" t="str">
        <f t="shared" si="0"/>
        <v>5146</v>
      </c>
      <c r="C9" s="234" t="s">
        <v>1865</v>
      </c>
      <c r="D9" s="245">
        <v>4000</v>
      </c>
      <c r="E9" s="245">
        <v>6720</v>
      </c>
      <c r="F9" s="216"/>
      <c r="G9" s="213"/>
      <c r="H9" s="245">
        <v>4000</v>
      </c>
      <c r="I9" s="245">
        <v>10500</v>
      </c>
      <c r="J9" s="216"/>
      <c r="K9" s="213"/>
      <c r="L9" s="245">
        <v>4000</v>
      </c>
      <c r="M9" s="245">
        <v>12840</v>
      </c>
      <c r="N9" s="216"/>
      <c r="O9" s="213"/>
      <c r="P9" s="245">
        <v>4000</v>
      </c>
      <c r="Q9" s="245">
        <v>6305</v>
      </c>
      <c r="R9" s="216"/>
      <c r="S9" s="213"/>
      <c r="T9" s="245">
        <v>4000</v>
      </c>
      <c r="U9" s="245">
        <v>6110</v>
      </c>
      <c r="V9" s="216"/>
      <c r="W9" s="213"/>
      <c r="X9" s="245">
        <v>4250</v>
      </c>
      <c r="Y9" s="245">
        <v>4250</v>
      </c>
      <c r="Z9" s="216">
        <v>6.25E-2</v>
      </c>
      <c r="AA9" s="213"/>
      <c r="AB9" s="245">
        <v>6000</v>
      </c>
      <c r="AC9" s="245">
        <v>7980</v>
      </c>
      <c r="AD9" s="216">
        <f t="shared" si="1"/>
        <v>0.41176470588235292</v>
      </c>
      <c r="AE9" s="213"/>
      <c r="AF9" s="245">
        <v>8000</v>
      </c>
      <c r="AG9" s="380">
        <v>8000</v>
      </c>
      <c r="AH9" s="245">
        <v>7980</v>
      </c>
      <c r="AI9" s="216">
        <f t="shared" si="2"/>
        <v>0.33333333333333331</v>
      </c>
      <c r="AJ9" s="216"/>
      <c r="AK9" s="398">
        <v>8000</v>
      </c>
      <c r="AL9" s="398">
        <v>3570</v>
      </c>
      <c r="AM9" s="396">
        <f t="shared" si="3"/>
        <v>0</v>
      </c>
      <c r="AN9" s="397"/>
      <c r="AO9" s="408">
        <f>'FY20 Payroll Schedule'!J76</f>
        <v>8000</v>
      </c>
      <c r="AP9" s="567">
        <f t="shared" si="4"/>
        <v>0</v>
      </c>
      <c r="AQ9" s="396">
        <f>AP9/AK9</f>
        <v>0</v>
      </c>
      <c r="AR9" s="288"/>
    </row>
    <row r="10" spans="1:44" s="211" customFormat="1" x14ac:dyDescent="0.25">
      <c r="A10" s="211" t="s">
        <v>617</v>
      </c>
      <c r="B10" s="214" t="str">
        <f t="shared" si="0"/>
        <v>5147</v>
      </c>
      <c r="C10" s="234" t="s">
        <v>1866</v>
      </c>
      <c r="D10" s="245">
        <v>3700</v>
      </c>
      <c r="E10" s="245">
        <v>6660</v>
      </c>
      <c r="F10" s="216"/>
      <c r="G10" s="213"/>
      <c r="H10" s="245">
        <v>3700</v>
      </c>
      <c r="I10" s="245">
        <v>6120</v>
      </c>
      <c r="J10" s="216"/>
      <c r="K10" s="213"/>
      <c r="L10" s="245">
        <v>3700</v>
      </c>
      <c r="M10" s="245">
        <v>6060</v>
      </c>
      <c r="N10" s="216"/>
      <c r="O10" s="213"/>
      <c r="P10" s="245">
        <v>3700</v>
      </c>
      <c r="Q10" s="245">
        <v>7020</v>
      </c>
      <c r="R10" s="216"/>
      <c r="S10" s="213"/>
      <c r="T10" s="245">
        <v>3700</v>
      </c>
      <c r="U10" s="245">
        <v>7280</v>
      </c>
      <c r="V10" s="216"/>
      <c r="W10" s="213"/>
      <c r="X10" s="245">
        <v>3950</v>
      </c>
      <c r="Y10" s="245">
        <v>3950</v>
      </c>
      <c r="Z10" s="216">
        <v>6.7567567567567571E-2</v>
      </c>
      <c r="AA10" s="213"/>
      <c r="AB10" s="245">
        <v>7500</v>
      </c>
      <c r="AC10" s="245">
        <v>8820</v>
      </c>
      <c r="AD10" s="216">
        <f t="shared" si="1"/>
        <v>0.89873417721518989</v>
      </c>
      <c r="AE10" s="213"/>
      <c r="AF10" s="245">
        <v>8000</v>
      </c>
      <c r="AG10" s="380">
        <v>8000</v>
      </c>
      <c r="AH10" s="245">
        <v>6860</v>
      </c>
      <c r="AI10" s="216">
        <f t="shared" si="2"/>
        <v>6.6666666666666666E-2</v>
      </c>
      <c r="AJ10" s="216"/>
      <c r="AK10" s="398">
        <v>8000</v>
      </c>
      <c r="AL10" s="398">
        <v>3640</v>
      </c>
      <c r="AM10" s="396">
        <f t="shared" si="3"/>
        <v>0</v>
      </c>
      <c r="AN10" s="397"/>
      <c r="AO10" s="408">
        <f>'FY20 Payroll Schedule'!J77</f>
        <v>8000</v>
      </c>
      <c r="AP10" s="567">
        <f t="shared" si="4"/>
        <v>0</v>
      </c>
      <c r="AQ10" s="396">
        <f>AP10/AK10</f>
        <v>0</v>
      </c>
      <c r="AR10" s="288"/>
    </row>
    <row r="11" spans="1:44" s="211" customFormat="1" x14ac:dyDescent="0.25">
      <c r="A11" s="211" t="s">
        <v>618</v>
      </c>
      <c r="B11" s="214" t="str">
        <f t="shared" si="0"/>
        <v>5148</v>
      </c>
      <c r="C11" s="234" t="s">
        <v>1867</v>
      </c>
      <c r="D11" s="245">
        <v>6200</v>
      </c>
      <c r="E11" s="245">
        <v>13140</v>
      </c>
      <c r="F11" s="216"/>
      <c r="G11" s="213"/>
      <c r="H11" s="245">
        <v>6200</v>
      </c>
      <c r="I11" s="245">
        <v>10440</v>
      </c>
      <c r="J11" s="216"/>
      <c r="K11" s="213"/>
      <c r="L11" s="245">
        <v>6200</v>
      </c>
      <c r="M11" s="245">
        <v>0</v>
      </c>
      <c r="N11" s="216"/>
      <c r="O11" s="213"/>
      <c r="P11" s="245">
        <v>6200</v>
      </c>
      <c r="Q11" s="245">
        <v>18760</v>
      </c>
      <c r="R11" s="216"/>
      <c r="S11" s="213"/>
      <c r="T11" s="245">
        <v>6200</v>
      </c>
      <c r="U11" s="245">
        <v>17485</v>
      </c>
      <c r="V11" s="216"/>
      <c r="W11" s="213"/>
      <c r="X11" s="245">
        <v>6200</v>
      </c>
      <c r="Y11" s="245">
        <v>6200</v>
      </c>
      <c r="Z11" s="216">
        <v>0</v>
      </c>
      <c r="AA11" s="213"/>
      <c r="AB11" s="245">
        <v>17500</v>
      </c>
      <c r="AC11" s="245">
        <v>21910</v>
      </c>
      <c r="AD11" s="216">
        <f t="shared" si="1"/>
        <v>1.8225806451612903</v>
      </c>
      <c r="AE11" s="213"/>
      <c r="AF11" s="245">
        <v>17500</v>
      </c>
      <c r="AG11" s="380">
        <v>17500</v>
      </c>
      <c r="AH11" s="245">
        <v>26810</v>
      </c>
      <c r="AI11" s="216">
        <f t="shared" si="2"/>
        <v>0</v>
      </c>
      <c r="AJ11" s="216"/>
      <c r="AK11" s="398">
        <v>20000</v>
      </c>
      <c r="AL11" s="398">
        <v>4760</v>
      </c>
      <c r="AM11" s="396">
        <f t="shared" si="3"/>
        <v>0.14285714285714285</v>
      </c>
      <c r="AN11" s="397"/>
      <c r="AO11" s="408">
        <f>'FY20 Payroll Schedule'!J78</f>
        <v>25000</v>
      </c>
      <c r="AP11" s="567">
        <f t="shared" si="4"/>
        <v>5000</v>
      </c>
      <c r="AQ11" s="216">
        <f>AP11/AK11</f>
        <v>0.25</v>
      </c>
      <c r="AR11" s="524" t="s">
        <v>2111</v>
      </c>
    </row>
    <row r="12" spans="1:44" s="114" customFormat="1" x14ac:dyDescent="0.25">
      <c r="A12" s="224"/>
      <c r="B12" s="224"/>
      <c r="C12" s="224" t="s">
        <v>26</v>
      </c>
      <c r="D12" s="225">
        <f>SUM(D6:D11)</f>
        <v>36134</v>
      </c>
      <c r="E12" s="225">
        <f>SUM(E6:E11)</f>
        <v>48754</v>
      </c>
      <c r="F12" s="226"/>
      <c r="G12" s="224"/>
      <c r="H12" s="225">
        <f>SUM(H6:H11)</f>
        <v>36711</v>
      </c>
      <c r="I12" s="225">
        <f>SUM(I6:I11)</f>
        <v>49871</v>
      </c>
      <c r="J12" s="226">
        <f>(H12-D12)/D12</f>
        <v>1.596834006752643E-2</v>
      </c>
      <c r="K12" s="224"/>
      <c r="L12" s="225">
        <f>SUM(L6:L11)</f>
        <v>37398.559999999998</v>
      </c>
      <c r="M12" s="225">
        <f>SUM(M6:M11)</f>
        <v>42398.57</v>
      </c>
      <c r="N12" s="226">
        <f>(L12-H12)/H12</f>
        <v>1.8728991310506326E-2</v>
      </c>
      <c r="O12" s="224"/>
      <c r="P12" s="225">
        <f>SUM(P6:P11)</f>
        <v>37962.520000000004</v>
      </c>
      <c r="Q12" s="225">
        <f>SUM(Q6:Q11)</f>
        <v>56056.36</v>
      </c>
      <c r="R12" s="226">
        <f>(P12-L12)/L12</f>
        <v>1.5079724994759328E-2</v>
      </c>
      <c r="S12" s="224"/>
      <c r="T12" s="225">
        <f>SUM(T6:T11)</f>
        <v>38318.199999999997</v>
      </c>
      <c r="U12" s="225">
        <f>SUM(U6:U11)</f>
        <v>55293.2</v>
      </c>
      <c r="V12" s="226">
        <f>(T12-P12)/P12</f>
        <v>9.3692410303634465E-3</v>
      </c>
      <c r="W12" s="224"/>
      <c r="X12" s="225">
        <f>SUM(X6:X11)</f>
        <v>39230.410000000003</v>
      </c>
      <c r="Y12" s="225">
        <f>SUM(Y6:Y11)</f>
        <v>39230.410000000003</v>
      </c>
      <c r="Z12" s="226">
        <f>(X12-T12)/T12</f>
        <v>2.3806180874884689E-2</v>
      </c>
      <c r="AA12" s="224"/>
      <c r="AB12" s="225">
        <f>SUM(AB6:AB11)</f>
        <v>55734.69</v>
      </c>
      <c r="AC12" s="225">
        <f>SUM(AC6:AC11)</f>
        <v>63444.69</v>
      </c>
      <c r="AD12" s="226">
        <f t="shared" si="1"/>
        <v>0.42070118563634684</v>
      </c>
      <c r="AE12" s="224"/>
      <c r="AF12" s="225">
        <f>SUM(AF6:AF11)</f>
        <v>58730.350000000006</v>
      </c>
      <c r="AG12" s="382">
        <f>SUM(AG6:AG11)</f>
        <v>59524.59</v>
      </c>
      <c r="AH12" s="225">
        <f>SUM(AH6:AH11)</f>
        <v>67644.040000000008</v>
      </c>
      <c r="AI12" s="226">
        <f t="shared" si="2"/>
        <v>6.7998942848699687E-2</v>
      </c>
      <c r="AJ12" s="226"/>
      <c r="AK12" s="225">
        <f>SUM(AK6:AK11)</f>
        <v>62520.229999999996</v>
      </c>
      <c r="AL12" s="225">
        <f>SUM(AL6:AL11)</f>
        <v>25202.760000000002</v>
      </c>
      <c r="AM12" s="226">
        <f t="shared" si="3"/>
        <v>5.0326092124280061E-2</v>
      </c>
      <c r="AN12" s="224"/>
      <c r="AO12" s="225">
        <f>SUM(AO6:AO11)</f>
        <v>70639.535839999997</v>
      </c>
      <c r="AP12" s="225">
        <f>SUM(AP6:AP11)</f>
        <v>8119.3058400000027</v>
      </c>
      <c r="AQ12" s="226">
        <f>AP12/AK12</f>
        <v>0.12986685813535881</v>
      </c>
      <c r="AR12" s="224"/>
    </row>
    <row r="13" spans="1:44" x14ac:dyDescent="0.25">
      <c r="D13" s="112"/>
      <c r="E13" s="112"/>
      <c r="F13" s="396"/>
      <c r="H13" s="112"/>
      <c r="I13" s="112"/>
      <c r="J13" s="396"/>
      <c r="L13" s="112"/>
      <c r="M13" s="112"/>
      <c r="N13" s="396"/>
      <c r="P13" s="112"/>
      <c r="Q13" s="112"/>
      <c r="R13" s="396"/>
      <c r="T13" s="112"/>
      <c r="U13" s="112"/>
      <c r="V13" s="396"/>
      <c r="X13" s="112"/>
      <c r="Y13" s="112"/>
      <c r="Z13" s="396"/>
      <c r="AB13" s="112"/>
      <c r="AC13" s="112"/>
      <c r="AD13" s="80"/>
      <c r="AF13" s="112"/>
      <c r="AG13" s="112"/>
      <c r="AH13" s="112"/>
      <c r="AI13" s="216"/>
      <c r="AJ13" s="80"/>
      <c r="AK13" s="112"/>
      <c r="AL13" s="112"/>
      <c r="AM13" s="396"/>
      <c r="AP13" s="112"/>
      <c r="AQ13" s="396"/>
    </row>
    <row r="14" spans="1:44" x14ac:dyDescent="0.25">
      <c r="C14" s="151" t="s">
        <v>277</v>
      </c>
      <c r="D14" s="112"/>
      <c r="E14" s="112"/>
      <c r="F14" s="396"/>
      <c r="H14" s="112"/>
      <c r="I14" s="112"/>
      <c r="J14" s="396"/>
      <c r="L14" s="112"/>
      <c r="M14" s="112"/>
      <c r="N14" s="396"/>
      <c r="P14" s="112"/>
      <c r="Q14" s="112"/>
      <c r="R14" s="396"/>
      <c r="T14" s="112"/>
      <c r="U14" s="112"/>
      <c r="V14" s="396"/>
      <c r="X14" s="112"/>
      <c r="Y14" s="112"/>
      <c r="Z14" s="396"/>
      <c r="AB14" s="112"/>
      <c r="AC14" s="112"/>
      <c r="AD14" s="80"/>
      <c r="AF14" s="112"/>
      <c r="AG14" s="112"/>
      <c r="AH14" s="112"/>
      <c r="AI14" s="216"/>
      <c r="AJ14" s="80"/>
      <c r="AK14" s="112"/>
      <c r="AL14" s="112"/>
      <c r="AM14" s="396"/>
      <c r="AP14" s="112"/>
      <c r="AQ14" s="396"/>
      <c r="AR14" s="111"/>
    </row>
    <row r="15" spans="1:44" s="211" customFormat="1" ht="14.25" x14ac:dyDescent="0.3">
      <c r="A15" s="211" t="s">
        <v>621</v>
      </c>
      <c r="B15" s="214">
        <v>5303</v>
      </c>
      <c r="C15" s="211" t="s">
        <v>1495</v>
      </c>
      <c r="D15" s="245">
        <v>0</v>
      </c>
      <c r="E15" s="245">
        <v>0</v>
      </c>
      <c r="F15" s="396"/>
      <c r="G15" s="213"/>
      <c r="H15" s="245">
        <v>0</v>
      </c>
      <c r="I15" s="245">
        <v>0</v>
      </c>
      <c r="J15" s="396"/>
      <c r="K15" s="213"/>
      <c r="L15" s="245">
        <v>500</v>
      </c>
      <c r="M15" s="245">
        <v>502.19</v>
      </c>
      <c r="N15" s="396"/>
      <c r="O15" s="213"/>
      <c r="P15" s="245">
        <v>500</v>
      </c>
      <c r="Q15" s="245">
        <v>388.38</v>
      </c>
      <c r="R15" s="396">
        <v>0</v>
      </c>
      <c r="S15" s="213"/>
      <c r="T15" s="245">
        <v>500</v>
      </c>
      <c r="U15" s="245">
        <v>327.36</v>
      </c>
      <c r="V15" s="396">
        <v>0</v>
      </c>
      <c r="W15" s="213"/>
      <c r="X15" s="245">
        <v>100</v>
      </c>
      <c r="Y15" s="245">
        <v>100</v>
      </c>
      <c r="Z15" s="396">
        <v>-0.8</v>
      </c>
      <c r="AA15" s="213"/>
      <c r="AB15" s="245">
        <v>600</v>
      </c>
      <c r="AC15" s="245">
        <v>0</v>
      </c>
      <c r="AD15" s="216">
        <f t="shared" ref="AD15:AD21" si="5">(AB15-X15)/X15</f>
        <v>5</v>
      </c>
      <c r="AE15" s="213"/>
      <c r="AF15" s="245">
        <v>600</v>
      </c>
      <c r="AG15" s="398">
        <v>600</v>
      </c>
      <c r="AH15" s="245">
        <v>0</v>
      </c>
      <c r="AI15" s="216">
        <f t="shared" ref="AI15:AI21" si="6">(AG15-AB15)/AB15</f>
        <v>0</v>
      </c>
      <c r="AJ15" s="216"/>
      <c r="AK15" s="398">
        <v>0</v>
      </c>
      <c r="AL15" s="398"/>
      <c r="AM15" s="396">
        <f t="shared" ref="AM15:AM21" si="7">(AK15-AG15)/AG15</f>
        <v>-1</v>
      </c>
      <c r="AN15" s="397"/>
      <c r="AO15" s="163">
        <v>0</v>
      </c>
      <c r="AP15" s="398">
        <f t="shared" ref="AP15:AP21" si="8">AO15-AK15</f>
        <v>0</v>
      </c>
      <c r="AQ15" s="396"/>
      <c r="AR15" s="156" t="s">
        <v>1419</v>
      </c>
    </row>
    <row r="16" spans="1:44" s="211" customFormat="1" ht="14.25" x14ac:dyDescent="0.3">
      <c r="A16" s="211" t="s">
        <v>917</v>
      </c>
      <c r="B16" s="214">
        <v>5341</v>
      </c>
      <c r="C16" s="211" t="s">
        <v>1640</v>
      </c>
      <c r="D16" s="245">
        <v>0</v>
      </c>
      <c r="E16" s="245">
        <v>0</v>
      </c>
      <c r="F16" s="396"/>
      <c r="G16" s="213"/>
      <c r="H16" s="245">
        <v>0</v>
      </c>
      <c r="I16" s="245">
        <v>0</v>
      </c>
      <c r="J16" s="396"/>
      <c r="K16" s="213"/>
      <c r="L16" s="245">
        <v>0</v>
      </c>
      <c r="M16" s="245">
        <v>0</v>
      </c>
      <c r="N16" s="396"/>
      <c r="O16" s="213"/>
      <c r="P16" s="245">
        <v>0</v>
      </c>
      <c r="Q16" s="245">
        <v>0</v>
      </c>
      <c r="R16" s="396" t="e">
        <v>#DIV/0!</v>
      </c>
      <c r="S16" s="213"/>
      <c r="T16" s="245">
        <v>200</v>
      </c>
      <c r="U16" s="245">
        <v>124.33</v>
      </c>
      <c r="V16" s="396" t="e">
        <v>#DIV/0!</v>
      </c>
      <c r="W16" s="213"/>
      <c r="X16" s="245">
        <v>200</v>
      </c>
      <c r="Y16" s="245">
        <v>200</v>
      </c>
      <c r="Z16" s="396">
        <v>0</v>
      </c>
      <c r="AA16" s="213"/>
      <c r="AB16" s="245">
        <v>200</v>
      </c>
      <c r="AC16" s="245">
        <v>584.79</v>
      </c>
      <c r="AD16" s="216">
        <f t="shared" si="5"/>
        <v>0</v>
      </c>
      <c r="AE16" s="213"/>
      <c r="AF16" s="245">
        <v>200</v>
      </c>
      <c r="AG16" s="398">
        <v>200</v>
      </c>
      <c r="AH16" s="245">
        <v>651.87</v>
      </c>
      <c r="AI16" s="216">
        <f t="shared" si="6"/>
        <v>0</v>
      </c>
      <c r="AJ16" s="216"/>
      <c r="AK16" s="398">
        <v>600</v>
      </c>
      <c r="AL16" s="398">
        <v>254.95</v>
      </c>
      <c r="AM16" s="396">
        <f t="shared" si="7"/>
        <v>2</v>
      </c>
      <c r="AN16" s="397"/>
      <c r="AO16" s="163">
        <v>600</v>
      </c>
      <c r="AP16" s="398">
        <f t="shared" si="8"/>
        <v>0</v>
      </c>
      <c r="AQ16" s="396">
        <f t="shared" ref="AQ16:AQ21" si="9">AP16/AK16</f>
        <v>0</v>
      </c>
      <c r="AR16" s="156"/>
    </row>
    <row r="17" spans="1:48" s="394" customFormat="1" ht="14.25" x14ac:dyDescent="0.3">
      <c r="A17" s="395" t="s">
        <v>1868</v>
      </c>
      <c r="B17" s="395">
        <v>5343</v>
      </c>
      <c r="C17" s="394" t="s">
        <v>1723</v>
      </c>
      <c r="D17" s="398"/>
      <c r="E17" s="398"/>
      <c r="F17" s="396"/>
      <c r="G17" s="397"/>
      <c r="H17" s="398"/>
      <c r="I17" s="398"/>
      <c r="J17" s="396"/>
      <c r="K17" s="397"/>
      <c r="L17" s="398"/>
      <c r="M17" s="398"/>
      <c r="N17" s="396"/>
      <c r="O17" s="397"/>
      <c r="P17" s="398"/>
      <c r="Q17" s="398"/>
      <c r="R17" s="396"/>
      <c r="S17" s="397"/>
      <c r="T17" s="398"/>
      <c r="U17" s="398"/>
      <c r="V17" s="396"/>
      <c r="W17" s="397"/>
      <c r="X17" s="398"/>
      <c r="Y17" s="398"/>
      <c r="Z17" s="396"/>
      <c r="AA17" s="397"/>
      <c r="AB17" s="398"/>
      <c r="AC17" s="398"/>
      <c r="AD17" s="396"/>
      <c r="AE17" s="397"/>
      <c r="AF17" s="398"/>
      <c r="AG17" s="398">
        <v>0</v>
      </c>
      <c r="AH17" s="398">
        <v>201.8</v>
      </c>
      <c r="AI17" s="396"/>
      <c r="AJ17" s="396"/>
      <c r="AK17" s="398"/>
      <c r="AL17" s="398"/>
      <c r="AM17" s="396"/>
      <c r="AN17" s="397"/>
      <c r="AO17" s="163"/>
      <c r="AP17" s="398">
        <f t="shared" si="8"/>
        <v>0</v>
      </c>
      <c r="AQ17" s="396"/>
      <c r="AR17" s="156"/>
    </row>
    <row r="18" spans="1:48" s="211" customFormat="1" ht="14.25" x14ac:dyDescent="0.3">
      <c r="A18" s="211" t="s">
        <v>987</v>
      </c>
      <c r="B18" s="214">
        <v>5344</v>
      </c>
      <c r="C18" s="211" t="s">
        <v>1601</v>
      </c>
      <c r="D18" s="245">
        <v>0</v>
      </c>
      <c r="E18" s="245">
        <v>0</v>
      </c>
      <c r="F18" s="396"/>
      <c r="G18" s="213"/>
      <c r="H18" s="245">
        <v>0</v>
      </c>
      <c r="I18" s="245">
        <v>0</v>
      </c>
      <c r="J18" s="396"/>
      <c r="K18" s="213"/>
      <c r="L18" s="245">
        <v>0</v>
      </c>
      <c r="M18" s="245">
        <v>0</v>
      </c>
      <c r="N18" s="396"/>
      <c r="O18" s="213"/>
      <c r="P18" s="245">
        <v>0</v>
      </c>
      <c r="Q18" s="245">
        <v>0</v>
      </c>
      <c r="R18" s="396" t="e">
        <v>#DIV/0!</v>
      </c>
      <c r="S18" s="213"/>
      <c r="T18" s="245">
        <v>0</v>
      </c>
      <c r="U18" s="245">
        <v>1.17</v>
      </c>
      <c r="V18" s="396" t="e">
        <v>#DIV/0!</v>
      </c>
      <c r="W18" s="213"/>
      <c r="X18" s="245">
        <v>0</v>
      </c>
      <c r="Y18" s="245">
        <v>0</v>
      </c>
      <c r="Z18" s="396" t="e">
        <v>#DIV/0!</v>
      </c>
      <c r="AA18" s="213"/>
      <c r="AB18" s="245">
        <v>10</v>
      </c>
      <c r="AC18" s="245">
        <v>0</v>
      </c>
      <c r="AD18" s="216" t="e">
        <f t="shared" si="5"/>
        <v>#DIV/0!</v>
      </c>
      <c r="AE18" s="213"/>
      <c r="AF18" s="245">
        <v>10</v>
      </c>
      <c r="AG18" s="398">
        <v>10</v>
      </c>
      <c r="AH18" s="245"/>
      <c r="AI18" s="216">
        <f t="shared" si="6"/>
        <v>0</v>
      </c>
      <c r="AJ18" s="216"/>
      <c r="AK18" s="398"/>
      <c r="AL18" s="398">
        <v>40.89</v>
      </c>
      <c r="AM18" s="396">
        <f t="shared" si="7"/>
        <v>-1</v>
      </c>
      <c r="AN18" s="397"/>
      <c r="AO18" s="163"/>
      <c r="AP18" s="398">
        <f t="shared" si="8"/>
        <v>0</v>
      </c>
      <c r="AQ18" s="396"/>
      <c r="AR18" s="156"/>
    </row>
    <row r="19" spans="1:48" s="211" customFormat="1" ht="14.25" x14ac:dyDescent="0.3">
      <c r="A19" s="211" t="s">
        <v>619</v>
      </c>
      <c r="B19" s="214" t="str">
        <f>MID(A19,14,4)</f>
        <v>5589</v>
      </c>
      <c r="C19" s="211" t="s">
        <v>1604</v>
      </c>
      <c r="D19" s="245">
        <v>100</v>
      </c>
      <c r="E19" s="245">
        <v>544.94000000000005</v>
      </c>
      <c r="F19" s="396"/>
      <c r="G19" s="213"/>
      <c r="H19" s="245">
        <v>100</v>
      </c>
      <c r="I19" s="245">
        <v>80</v>
      </c>
      <c r="J19" s="396">
        <v>0</v>
      </c>
      <c r="K19" s="213"/>
      <c r="L19" s="245">
        <v>100</v>
      </c>
      <c r="M19" s="245">
        <v>197.28</v>
      </c>
      <c r="N19" s="396">
        <v>0</v>
      </c>
      <c r="O19" s="213"/>
      <c r="P19" s="245">
        <v>100</v>
      </c>
      <c r="Q19" s="245">
        <v>167.04</v>
      </c>
      <c r="R19" s="396">
        <v>0</v>
      </c>
      <c r="S19" s="213"/>
      <c r="T19" s="245">
        <v>100</v>
      </c>
      <c r="U19" s="245">
        <v>238</v>
      </c>
      <c r="V19" s="396">
        <v>0</v>
      </c>
      <c r="W19" s="213"/>
      <c r="X19" s="245">
        <v>75</v>
      </c>
      <c r="Y19" s="245">
        <v>75</v>
      </c>
      <c r="Z19" s="396">
        <v>-0.25</v>
      </c>
      <c r="AA19" s="213"/>
      <c r="AB19" s="245">
        <v>100</v>
      </c>
      <c r="AC19" s="245">
        <v>206.25</v>
      </c>
      <c r="AD19" s="216">
        <f t="shared" si="5"/>
        <v>0.33333333333333331</v>
      </c>
      <c r="AE19" s="213"/>
      <c r="AF19" s="245">
        <v>100</v>
      </c>
      <c r="AG19" s="398">
        <v>100</v>
      </c>
      <c r="AH19" s="245">
        <v>325.8</v>
      </c>
      <c r="AI19" s="216">
        <f t="shared" si="6"/>
        <v>0</v>
      </c>
      <c r="AJ19" s="216"/>
      <c r="AK19" s="398">
        <v>200</v>
      </c>
      <c r="AL19" s="398">
        <v>0</v>
      </c>
      <c r="AM19" s="396">
        <f t="shared" si="7"/>
        <v>1</v>
      </c>
      <c r="AN19" s="397"/>
      <c r="AO19" s="163">
        <v>200</v>
      </c>
      <c r="AP19" s="398">
        <f t="shared" si="8"/>
        <v>0</v>
      </c>
      <c r="AQ19" s="396">
        <f t="shared" si="9"/>
        <v>0</v>
      </c>
      <c r="AR19" s="156"/>
    </row>
    <row r="20" spans="1:48" s="211" customFormat="1" ht="14.25" x14ac:dyDescent="0.3">
      <c r="A20" s="211" t="s">
        <v>620</v>
      </c>
      <c r="B20" s="214" t="str">
        <f>MID(A20,14,4)</f>
        <v>5710</v>
      </c>
      <c r="C20" s="211" t="s">
        <v>1605</v>
      </c>
      <c r="D20" s="245">
        <v>75</v>
      </c>
      <c r="E20" s="245">
        <v>0</v>
      </c>
      <c r="F20" s="396"/>
      <c r="G20" s="213"/>
      <c r="H20" s="245">
        <v>75</v>
      </c>
      <c r="I20" s="245">
        <v>0</v>
      </c>
      <c r="J20" s="396">
        <v>0</v>
      </c>
      <c r="K20" s="213"/>
      <c r="L20" s="245">
        <v>75</v>
      </c>
      <c r="M20" s="245">
        <v>59</v>
      </c>
      <c r="N20" s="396">
        <v>0</v>
      </c>
      <c r="O20" s="213"/>
      <c r="P20" s="245">
        <v>75</v>
      </c>
      <c r="Q20" s="245">
        <v>447.9</v>
      </c>
      <c r="R20" s="396">
        <v>0</v>
      </c>
      <c r="S20" s="213"/>
      <c r="T20" s="245">
        <v>75</v>
      </c>
      <c r="U20" s="245">
        <v>177.6</v>
      </c>
      <c r="V20" s="396">
        <v>0</v>
      </c>
      <c r="W20" s="213"/>
      <c r="X20" s="245">
        <v>500</v>
      </c>
      <c r="Y20" s="245">
        <v>355.2</v>
      </c>
      <c r="Z20" s="396">
        <v>5.666666666666667</v>
      </c>
      <c r="AA20" s="213"/>
      <c r="AB20" s="245">
        <v>600</v>
      </c>
      <c r="AC20" s="245">
        <v>679.06</v>
      </c>
      <c r="AD20" s="216">
        <f t="shared" si="5"/>
        <v>0.2</v>
      </c>
      <c r="AE20" s="213"/>
      <c r="AF20" s="245">
        <v>600</v>
      </c>
      <c r="AG20" s="398">
        <v>600</v>
      </c>
      <c r="AH20" s="245">
        <v>654.58000000000004</v>
      </c>
      <c r="AI20" s="216">
        <f t="shared" si="6"/>
        <v>0</v>
      </c>
      <c r="AJ20" s="216"/>
      <c r="AK20" s="398">
        <v>600</v>
      </c>
      <c r="AL20" s="398">
        <v>0</v>
      </c>
      <c r="AM20" s="396">
        <f t="shared" si="7"/>
        <v>0</v>
      </c>
      <c r="AN20" s="397"/>
      <c r="AO20" s="163">
        <v>600</v>
      </c>
      <c r="AP20" s="398">
        <f t="shared" si="8"/>
        <v>0</v>
      </c>
      <c r="AQ20" s="396">
        <f t="shared" si="9"/>
        <v>0</v>
      </c>
      <c r="AR20" s="156" t="s">
        <v>1420</v>
      </c>
    </row>
    <row r="21" spans="1:48" s="211" customFormat="1" ht="14.25" x14ac:dyDescent="0.3">
      <c r="A21" s="211" t="s">
        <v>622</v>
      </c>
      <c r="B21" s="214" t="str">
        <f>MID(A21,14,4)</f>
        <v>5711</v>
      </c>
      <c r="C21" s="211" t="s">
        <v>1606</v>
      </c>
      <c r="D21" s="245">
        <v>1200</v>
      </c>
      <c r="E21" s="245">
        <v>1000.86</v>
      </c>
      <c r="F21" s="396"/>
      <c r="G21" s="213"/>
      <c r="H21" s="245">
        <v>1000</v>
      </c>
      <c r="I21" s="245">
        <v>827.03</v>
      </c>
      <c r="J21" s="396">
        <v>-0.16666666666666666</v>
      </c>
      <c r="K21" s="213"/>
      <c r="L21" s="245">
        <v>1000</v>
      </c>
      <c r="M21" s="245">
        <v>1860.33</v>
      </c>
      <c r="N21" s="396">
        <v>0</v>
      </c>
      <c r="O21" s="213"/>
      <c r="P21" s="245">
        <v>1000</v>
      </c>
      <c r="Q21" s="245">
        <v>1291.6600000000001</v>
      </c>
      <c r="R21" s="396">
        <v>0</v>
      </c>
      <c r="S21" s="213"/>
      <c r="T21" s="245">
        <v>1000</v>
      </c>
      <c r="U21" s="245">
        <v>1344.03</v>
      </c>
      <c r="V21" s="396">
        <v>0</v>
      </c>
      <c r="W21" s="213"/>
      <c r="X21" s="245">
        <v>1000</v>
      </c>
      <c r="Y21" s="245">
        <v>1144.8</v>
      </c>
      <c r="Z21" s="396">
        <v>0</v>
      </c>
      <c r="AA21" s="213"/>
      <c r="AB21" s="245">
        <v>1400</v>
      </c>
      <c r="AC21" s="245">
        <v>1408.74</v>
      </c>
      <c r="AD21" s="216">
        <f t="shared" si="5"/>
        <v>0.4</v>
      </c>
      <c r="AE21" s="213"/>
      <c r="AF21" s="245">
        <v>1400</v>
      </c>
      <c r="AG21" s="398">
        <v>1400</v>
      </c>
      <c r="AH21" s="398">
        <v>1132.95</v>
      </c>
      <c r="AI21" s="216">
        <f t="shared" si="6"/>
        <v>0</v>
      </c>
      <c r="AJ21" s="216"/>
      <c r="AK21" s="398">
        <v>1800</v>
      </c>
      <c r="AL21" s="398">
        <v>0</v>
      </c>
      <c r="AM21" s="396">
        <f t="shared" si="7"/>
        <v>0.2857142857142857</v>
      </c>
      <c r="AN21" s="397"/>
      <c r="AO21" s="163">
        <v>1800</v>
      </c>
      <c r="AP21" s="398">
        <f t="shared" si="8"/>
        <v>0</v>
      </c>
      <c r="AQ21" s="396">
        <f t="shared" si="9"/>
        <v>0</v>
      </c>
      <c r="AR21" s="156" t="s">
        <v>1421</v>
      </c>
    </row>
    <row r="22" spans="1:48" s="114" customFormat="1" x14ac:dyDescent="0.25">
      <c r="A22" s="219"/>
      <c r="B22" s="219"/>
      <c r="C22" s="219" t="s">
        <v>279</v>
      </c>
      <c r="D22" s="220">
        <f>SUM(D15:D21)</f>
        <v>1375</v>
      </c>
      <c r="E22" s="220">
        <f>SUM(E15:E21)</f>
        <v>1545.8000000000002</v>
      </c>
      <c r="F22" s="221"/>
      <c r="G22" s="219"/>
      <c r="H22" s="220">
        <f>SUM(H15:H21)</f>
        <v>1175</v>
      </c>
      <c r="I22" s="220">
        <f>SUM(I15:I21)</f>
        <v>907.03</v>
      </c>
      <c r="J22" s="221">
        <f>(H22-D22)/D22</f>
        <v>-0.14545454545454545</v>
      </c>
      <c r="K22" s="219"/>
      <c r="L22" s="220">
        <f>SUM(L15:L21)</f>
        <v>1675</v>
      </c>
      <c r="M22" s="220">
        <f>SUM(M15:M21)</f>
        <v>2618.8000000000002</v>
      </c>
      <c r="N22" s="221">
        <f>(L22-H22)/H22</f>
        <v>0.42553191489361702</v>
      </c>
      <c r="O22" s="219"/>
      <c r="P22" s="220">
        <f>SUM(P15:P21)</f>
        <v>1675</v>
      </c>
      <c r="Q22" s="220">
        <f>SUM(Q15:Q21)</f>
        <v>2294.98</v>
      </c>
      <c r="R22" s="221">
        <f>(P22-L22)/L22</f>
        <v>0</v>
      </c>
      <c r="S22" s="219"/>
      <c r="T22" s="220">
        <f>SUM(T15:T21)</f>
        <v>1875</v>
      </c>
      <c r="U22" s="220">
        <f>SUM(U15:U21)</f>
        <v>2212.4899999999998</v>
      </c>
      <c r="V22" s="221">
        <f>(T22-P22)/P22</f>
        <v>0.11940298507462686</v>
      </c>
      <c r="W22" s="219"/>
      <c r="X22" s="220">
        <f>SUM(X15:X21)</f>
        <v>1875</v>
      </c>
      <c r="Y22" s="220">
        <f>SUM(Y15:Y21)</f>
        <v>1875</v>
      </c>
      <c r="Z22" s="221">
        <f>(X22-T22)/T22</f>
        <v>0</v>
      </c>
      <c r="AA22" s="219"/>
      <c r="AB22" s="220">
        <f>SUM(AB15:AB21)</f>
        <v>2910</v>
      </c>
      <c r="AC22" s="220">
        <f>SUM(AC15:AC21)</f>
        <v>2878.84</v>
      </c>
      <c r="AD22" s="221">
        <f>(AB22-X22)/X22</f>
        <v>0.55200000000000005</v>
      </c>
      <c r="AE22" s="219"/>
      <c r="AF22" s="220">
        <f>SUM(AF15:AF21)</f>
        <v>2910</v>
      </c>
      <c r="AG22" s="220">
        <f>SUM(AG15:AG21)</f>
        <v>2910</v>
      </c>
      <c r="AH22" s="220">
        <f>SUM(AH15:AH21)</f>
        <v>2967</v>
      </c>
      <c r="AI22" s="221">
        <f>(AG22-AB22)/AB22</f>
        <v>0</v>
      </c>
      <c r="AJ22" s="221"/>
      <c r="AK22" s="401">
        <f>SUM(AK15:AK21)</f>
        <v>3200</v>
      </c>
      <c r="AL22" s="401">
        <f>SUM(AL15:AL21)</f>
        <v>295.83999999999997</v>
      </c>
      <c r="AM22" s="221">
        <f>(AK22-AG22)/AG22</f>
        <v>9.9656357388316158E-2</v>
      </c>
      <c r="AN22" s="219"/>
      <c r="AO22" s="223">
        <f>SUM(AO15:AO21)</f>
        <v>3200</v>
      </c>
      <c r="AP22" s="223">
        <f>SUM(AP15:AP21)</f>
        <v>0</v>
      </c>
      <c r="AQ22" s="221">
        <f>AP22/AK22</f>
        <v>0</v>
      </c>
      <c r="AR22" s="219"/>
    </row>
    <row r="23" spans="1:48" s="211" customFormat="1" x14ac:dyDescent="0.25">
      <c r="D23" s="112"/>
      <c r="E23" s="112"/>
      <c r="F23" s="396"/>
      <c r="G23" s="213"/>
      <c r="H23" s="112"/>
      <c r="I23" s="112"/>
      <c r="J23" s="396"/>
      <c r="K23" s="213"/>
      <c r="L23" s="112"/>
      <c r="M23" s="112"/>
      <c r="N23" s="396"/>
      <c r="O23" s="213"/>
      <c r="P23" s="112"/>
      <c r="Q23" s="112"/>
      <c r="R23" s="396"/>
      <c r="S23" s="213"/>
      <c r="T23" s="112"/>
      <c r="U23" s="112"/>
      <c r="V23" s="396"/>
      <c r="W23" s="213"/>
      <c r="X23" s="112"/>
      <c r="Y23" s="112"/>
      <c r="Z23" s="396"/>
      <c r="AA23" s="213"/>
      <c r="AB23" s="112"/>
      <c r="AC23" s="112"/>
      <c r="AD23" s="216"/>
      <c r="AE23" s="213"/>
      <c r="AF23" s="112"/>
      <c r="AG23" s="112"/>
      <c r="AH23" s="112"/>
      <c r="AI23" s="216"/>
      <c r="AJ23" s="216"/>
      <c r="AK23" s="112"/>
      <c r="AL23" s="112"/>
      <c r="AM23" s="396"/>
      <c r="AN23" s="397"/>
      <c r="AO23" s="212"/>
      <c r="AP23" s="212"/>
      <c r="AQ23" s="396"/>
    </row>
    <row r="24" spans="1:48" s="114" customFormat="1" ht="12.75" x14ac:dyDescent="0.2">
      <c r="A24" s="228"/>
      <c r="B24" s="228"/>
      <c r="C24" s="233" t="s">
        <v>280</v>
      </c>
      <c r="D24" s="230">
        <f>D12+D22</f>
        <v>37509</v>
      </c>
      <c r="E24" s="230">
        <f>E12+E22</f>
        <v>50299.8</v>
      </c>
      <c r="F24" s="231"/>
      <c r="G24" s="228"/>
      <c r="H24" s="230">
        <f>H12+H22</f>
        <v>37886</v>
      </c>
      <c r="I24" s="230">
        <f>I12+I22</f>
        <v>50778.03</v>
      </c>
      <c r="J24" s="231">
        <f>(H24-D24)/D24</f>
        <v>1.005092111226639E-2</v>
      </c>
      <c r="K24" s="228"/>
      <c r="L24" s="230">
        <f>L12+L22</f>
        <v>39073.56</v>
      </c>
      <c r="M24" s="230">
        <f>M12+M22</f>
        <v>45017.37</v>
      </c>
      <c r="N24" s="231">
        <f>(L24-H24)/H24</f>
        <v>3.1345615794752618E-2</v>
      </c>
      <c r="O24" s="228"/>
      <c r="P24" s="230">
        <f>P12+P22</f>
        <v>39637.520000000004</v>
      </c>
      <c r="Q24" s="230">
        <f>Q12+Q22</f>
        <v>58351.340000000004</v>
      </c>
      <c r="R24" s="231">
        <f>(P24-L24)/L24</f>
        <v>1.4433289416168029E-2</v>
      </c>
      <c r="S24" s="228"/>
      <c r="T24" s="230">
        <f>T12+T22</f>
        <v>40193.199999999997</v>
      </c>
      <c r="U24" s="230">
        <f>U12+U22</f>
        <v>57505.689999999995</v>
      </c>
      <c r="V24" s="231">
        <f>(T24-P24)/P24</f>
        <v>1.4019040545422442E-2</v>
      </c>
      <c r="W24" s="228"/>
      <c r="X24" s="230">
        <f>X12+X22</f>
        <v>41105.410000000003</v>
      </c>
      <c r="Y24" s="230">
        <f>Y12+Y22</f>
        <v>41105.410000000003</v>
      </c>
      <c r="Z24" s="231">
        <f>(X24-T24)/T24</f>
        <v>2.2695630106585353E-2</v>
      </c>
      <c r="AA24" s="228"/>
      <c r="AB24" s="230">
        <f>AB12+AB22</f>
        <v>58644.69</v>
      </c>
      <c r="AC24" s="230">
        <f>AC12+AC22</f>
        <v>66323.53</v>
      </c>
      <c r="AD24" s="231">
        <f>(AB24-X24)/X24</f>
        <v>0.4266903067017212</v>
      </c>
      <c r="AE24" s="228"/>
      <c r="AF24" s="230">
        <f>AF12+AF22</f>
        <v>61640.350000000006</v>
      </c>
      <c r="AG24" s="382">
        <f>AG12+AG22</f>
        <v>62434.59</v>
      </c>
      <c r="AH24" s="230">
        <f>AH12+AH22</f>
        <v>70611.040000000008</v>
      </c>
      <c r="AI24" s="231">
        <f>(AG24-AB24)/AB24</f>
        <v>6.4624776770070641E-2</v>
      </c>
      <c r="AJ24" s="231"/>
      <c r="AK24" s="402">
        <f>AK12+AK22</f>
        <v>65720.23</v>
      </c>
      <c r="AL24" s="402">
        <f>AL12+AL22</f>
        <v>25498.600000000002</v>
      </c>
      <c r="AM24" s="231">
        <f>(AK24-AG24)/AG24</f>
        <v>5.2625315550242253E-2</v>
      </c>
      <c r="AN24" s="228"/>
      <c r="AO24" s="232">
        <f>SUM(AO12+AO22)</f>
        <v>73839.535839999997</v>
      </c>
      <c r="AP24" s="232">
        <f>SUM(AP12+AP22)</f>
        <v>8119.3058400000027</v>
      </c>
      <c r="AQ24" s="231">
        <f>AP24/AK24</f>
        <v>0.12354347877358315</v>
      </c>
      <c r="AR24" s="233"/>
    </row>
    <row r="25" spans="1:48" x14ac:dyDescent="0.25">
      <c r="D25" s="120"/>
      <c r="H25" s="120"/>
      <c r="L25" s="120"/>
      <c r="P25" s="120"/>
      <c r="T25" s="120"/>
      <c r="X25" s="120"/>
      <c r="AB25" s="120"/>
      <c r="AF25" s="120"/>
      <c r="AG25" s="120"/>
      <c r="AK25" s="403"/>
      <c r="AR25" s="566" t="s">
        <v>2112</v>
      </c>
    </row>
    <row r="26" spans="1:48" s="111" customFormat="1" thickBot="1" x14ac:dyDescent="0.25">
      <c r="B26" s="151"/>
      <c r="C26" s="111" t="s">
        <v>281</v>
      </c>
      <c r="D26" s="122"/>
      <c r="E26" s="121">
        <f>D24-E24</f>
        <v>-12790.800000000003</v>
      </c>
      <c r="G26" s="118"/>
      <c r="H26" s="122"/>
      <c r="I26" s="121">
        <f>H24-I24</f>
        <v>-12892.029999999999</v>
      </c>
      <c r="K26" s="118"/>
      <c r="L26" s="122"/>
      <c r="M26" s="121">
        <f>L24-M24</f>
        <v>-5943.8100000000049</v>
      </c>
      <c r="O26" s="118"/>
      <c r="P26" s="122"/>
      <c r="Q26" s="121">
        <f>P24-Q24</f>
        <v>-18713.82</v>
      </c>
      <c r="S26" s="118"/>
      <c r="T26" s="122"/>
      <c r="U26" s="121">
        <f>T24-U24</f>
        <v>-17312.489999999998</v>
      </c>
      <c r="W26" s="118"/>
      <c r="X26" s="122"/>
      <c r="Y26" s="121">
        <f>X24-Y24</f>
        <v>0</v>
      </c>
      <c r="AA26" s="118"/>
      <c r="AB26" s="122"/>
      <c r="AC26" s="121">
        <f>AB24-AC24</f>
        <v>-7678.8399999999965</v>
      </c>
      <c r="AE26" s="118"/>
      <c r="AF26" s="122"/>
      <c r="AG26" s="122"/>
      <c r="AH26" s="121">
        <f>AG24-AH24</f>
        <v>-8176.4500000000116</v>
      </c>
      <c r="AK26" s="122"/>
      <c r="AL26" s="121">
        <f>AK24-AL24</f>
        <v>40221.62999999999</v>
      </c>
      <c r="AN26" s="118"/>
      <c r="AO26" s="123"/>
      <c r="AP26" s="123"/>
    </row>
    <row r="27" spans="1:48" ht="14.25" thickTop="1" x14ac:dyDescent="0.25">
      <c r="D27" s="120"/>
      <c r="F27" s="216"/>
      <c r="H27" s="120"/>
      <c r="J27" s="216"/>
      <c r="L27" s="120"/>
      <c r="N27" s="216"/>
      <c r="P27" s="120"/>
      <c r="R27" s="216"/>
      <c r="T27" s="120"/>
      <c r="V27" s="80"/>
      <c r="X27" s="120"/>
      <c r="AB27" s="120"/>
      <c r="AF27" s="120"/>
      <c r="AG27" s="120"/>
      <c r="AK27" s="403"/>
      <c r="AO27" s="240" t="s">
        <v>1195</v>
      </c>
      <c r="AP27" s="241"/>
      <c r="AQ27" s="242"/>
      <c r="AR27" s="211"/>
      <c r="AS27" s="111"/>
      <c r="AT27" s="111"/>
      <c r="AU27" s="111"/>
      <c r="AV27" s="111"/>
    </row>
    <row r="28" spans="1:48" x14ac:dyDescent="0.25">
      <c r="A28" s="397"/>
      <c r="B28" s="420"/>
      <c r="C28" s="414"/>
      <c r="D28" s="397"/>
      <c r="E28" s="397"/>
      <c r="F28" s="4"/>
      <c r="G28" s="397"/>
      <c r="H28" s="397"/>
      <c r="I28" s="397"/>
      <c r="J28" s="4"/>
      <c r="K28" s="397"/>
      <c r="L28" s="397"/>
      <c r="M28" s="397"/>
      <c r="N28" s="4"/>
      <c r="O28" s="397"/>
      <c r="P28" s="397"/>
      <c r="Q28" s="397"/>
      <c r="R28" s="4"/>
      <c r="S28" s="397"/>
      <c r="T28" s="397"/>
      <c r="U28" s="397"/>
      <c r="V28" s="4"/>
      <c r="W28" s="397"/>
      <c r="X28" s="397"/>
      <c r="Y28" s="397"/>
      <c r="Z28" s="397"/>
      <c r="AA28" s="397"/>
      <c r="AB28" s="397"/>
      <c r="AC28" s="397"/>
      <c r="AD28" s="397"/>
      <c r="AE28" s="397"/>
      <c r="AF28" s="397"/>
      <c r="AG28" s="397"/>
      <c r="AH28" s="397"/>
      <c r="AI28" s="397"/>
      <c r="AJ28" s="397"/>
      <c r="AK28" s="397"/>
      <c r="AL28" s="397"/>
      <c r="AM28" s="397"/>
      <c r="AO28" s="243" t="s">
        <v>313</v>
      </c>
      <c r="AP28" s="5"/>
      <c r="AQ28" s="299">
        <f>AO12*0.0145</f>
        <v>1024.2732696800001</v>
      </c>
      <c r="AR28" s="211"/>
      <c r="AS28" s="211"/>
      <c r="AT28" s="211"/>
      <c r="AU28" s="211"/>
      <c r="AV28" s="211"/>
    </row>
    <row r="29" spans="1:48" ht="13.5" customHeight="1" x14ac:dyDescent="0.25">
      <c r="A29" s="176"/>
      <c r="B29" s="421"/>
      <c r="C29" s="176"/>
      <c r="D29" s="399"/>
      <c r="E29" s="399"/>
      <c r="F29" s="4"/>
      <c r="G29" s="397"/>
      <c r="H29" s="399"/>
      <c r="I29" s="399"/>
      <c r="J29" s="4"/>
      <c r="K29" s="397"/>
      <c r="L29" s="399"/>
      <c r="M29" s="399"/>
      <c r="N29" s="4"/>
      <c r="O29" s="397"/>
      <c r="P29" s="399"/>
      <c r="Q29" s="399"/>
      <c r="R29" s="4"/>
      <c r="S29" s="397"/>
      <c r="T29" s="399"/>
      <c r="U29" s="399"/>
      <c r="V29" s="4"/>
      <c r="W29" s="397"/>
      <c r="X29" s="399"/>
      <c r="Y29" s="399"/>
      <c r="Z29" s="4"/>
      <c r="AA29" s="397"/>
      <c r="AB29" s="399"/>
      <c r="AC29" s="399"/>
      <c r="AD29" s="4"/>
      <c r="AE29" s="397"/>
      <c r="AF29" s="399"/>
      <c r="AG29" s="399"/>
      <c r="AH29" s="399"/>
      <c r="AI29" s="4"/>
      <c r="AJ29" s="4"/>
      <c r="AK29" s="399"/>
      <c r="AL29" s="399"/>
      <c r="AM29" s="4"/>
      <c r="AO29" s="210" t="s">
        <v>314</v>
      </c>
      <c r="AP29" s="5"/>
      <c r="AQ29" s="299">
        <f>AO12*0.0009</f>
        <v>63.575582255999997</v>
      </c>
      <c r="AR29" s="211"/>
      <c r="AS29" s="213"/>
      <c r="AT29" s="213"/>
      <c r="AU29" s="213"/>
      <c r="AV29" s="213"/>
    </row>
    <row r="30" spans="1:48" x14ac:dyDescent="0.25">
      <c r="A30" s="176"/>
      <c r="B30" s="421"/>
      <c r="C30" s="176"/>
      <c r="D30" s="399"/>
      <c r="E30" s="399"/>
      <c r="F30" s="4"/>
      <c r="G30" s="397"/>
      <c r="H30" s="399"/>
      <c r="I30" s="399"/>
      <c r="J30" s="4"/>
      <c r="K30" s="397"/>
      <c r="L30" s="399"/>
      <c r="M30" s="399"/>
      <c r="N30" s="4"/>
      <c r="O30" s="397"/>
      <c r="P30" s="399"/>
      <c r="Q30" s="399"/>
      <c r="R30" s="4"/>
      <c r="S30" s="397"/>
      <c r="T30" s="399"/>
      <c r="U30" s="399"/>
      <c r="V30" s="4"/>
      <c r="W30" s="397"/>
      <c r="X30" s="399"/>
      <c r="Y30" s="399"/>
      <c r="Z30" s="4"/>
      <c r="AA30" s="397"/>
      <c r="AB30" s="399"/>
      <c r="AC30" s="399"/>
      <c r="AD30" s="4"/>
      <c r="AE30" s="397"/>
      <c r="AF30" s="399"/>
      <c r="AG30" s="399"/>
      <c r="AH30" s="399"/>
      <c r="AI30" s="4"/>
      <c r="AJ30" s="4"/>
      <c r="AK30" s="399"/>
      <c r="AL30" s="399"/>
      <c r="AM30" s="4"/>
      <c r="AO30" s="210" t="s">
        <v>315</v>
      </c>
      <c r="AP30" s="5"/>
      <c r="AQ30" s="299">
        <f>AO12*0.003</f>
        <v>211.91860751999999</v>
      </c>
      <c r="AR30" s="211"/>
      <c r="AS30" s="211"/>
      <c r="AT30" s="211"/>
      <c r="AU30" s="211"/>
      <c r="AV30" s="211"/>
    </row>
    <row r="31" spans="1:48" x14ac:dyDescent="0.25">
      <c r="A31" s="176"/>
      <c r="B31" s="421"/>
      <c r="C31" s="176"/>
      <c r="D31" s="399"/>
      <c r="E31" s="399"/>
      <c r="F31" s="4"/>
      <c r="G31" s="397"/>
      <c r="H31" s="399"/>
      <c r="I31" s="399"/>
      <c r="J31" s="4"/>
      <c r="K31" s="397"/>
      <c r="L31" s="399"/>
      <c r="M31" s="399"/>
      <c r="N31" s="4"/>
      <c r="O31" s="397"/>
      <c r="P31" s="399"/>
      <c r="Q31" s="399"/>
      <c r="R31" s="4"/>
      <c r="S31" s="397"/>
      <c r="T31" s="399"/>
      <c r="U31" s="399"/>
      <c r="V31" s="4"/>
      <c r="W31" s="397"/>
      <c r="X31" s="399"/>
      <c r="Y31" s="399"/>
      <c r="Z31" s="4"/>
      <c r="AA31" s="397"/>
      <c r="AB31" s="399"/>
      <c r="AC31" s="399"/>
      <c r="AD31" s="4"/>
      <c r="AE31" s="397"/>
      <c r="AF31" s="399"/>
      <c r="AG31" s="399"/>
      <c r="AH31" s="399"/>
      <c r="AI31" s="4"/>
      <c r="AJ31" s="4"/>
      <c r="AK31" s="399"/>
      <c r="AL31" s="399"/>
      <c r="AM31" s="4"/>
      <c r="AO31" s="210" t="s">
        <v>316</v>
      </c>
      <c r="AP31" s="5"/>
      <c r="AQ31" s="299">
        <f>'County Retirement'!G20</f>
        <v>3624.9997629565728</v>
      </c>
      <c r="AR31" s="211"/>
      <c r="AS31" s="147"/>
      <c r="AT31" s="147"/>
      <c r="AU31" s="147"/>
      <c r="AV31" s="147"/>
    </row>
    <row r="32" spans="1:48" x14ac:dyDescent="0.25">
      <c r="A32" s="176"/>
      <c r="B32" s="421"/>
      <c r="C32" s="176"/>
      <c r="D32" s="399"/>
      <c r="E32" s="399"/>
      <c r="F32" s="4"/>
      <c r="G32" s="397"/>
      <c r="H32" s="399"/>
      <c r="I32" s="399"/>
      <c r="J32" s="4"/>
      <c r="K32" s="397"/>
      <c r="L32" s="399"/>
      <c r="M32" s="399"/>
      <c r="N32" s="4"/>
      <c r="O32" s="397"/>
      <c r="P32" s="399"/>
      <c r="Q32" s="399"/>
      <c r="R32" s="4"/>
      <c r="S32" s="397"/>
      <c r="T32" s="399"/>
      <c r="U32" s="399"/>
      <c r="V32" s="4"/>
      <c r="W32" s="397"/>
      <c r="X32" s="399"/>
      <c r="Y32" s="399"/>
      <c r="Z32" s="4"/>
      <c r="AA32" s="397"/>
      <c r="AB32" s="399"/>
      <c r="AC32" s="399"/>
      <c r="AD32" s="4"/>
      <c r="AE32" s="397"/>
      <c r="AF32" s="399"/>
      <c r="AG32" s="399"/>
      <c r="AH32" s="399"/>
      <c r="AI32" s="4"/>
      <c r="AJ32" s="4"/>
      <c r="AK32" s="399"/>
      <c r="AL32" s="399"/>
      <c r="AM32" s="4"/>
      <c r="AO32" s="210" t="s">
        <v>317</v>
      </c>
      <c r="AP32" s="5"/>
      <c r="AQ32" s="300" t="s">
        <v>1093</v>
      </c>
      <c r="AR32" s="211" t="s">
        <v>1201</v>
      </c>
      <c r="AS32" s="211"/>
      <c r="AT32" s="211"/>
      <c r="AU32" s="211"/>
      <c r="AV32" s="211"/>
    </row>
    <row r="33" spans="1:48" x14ac:dyDescent="0.25">
      <c r="A33" s="176"/>
      <c r="B33" s="421"/>
      <c r="C33" s="176"/>
      <c r="D33" s="399"/>
      <c r="E33" s="399"/>
      <c r="F33" s="4"/>
      <c r="G33" s="397"/>
      <c r="H33" s="399"/>
      <c r="I33" s="399"/>
      <c r="J33" s="4"/>
      <c r="K33" s="397"/>
      <c r="L33" s="399"/>
      <c r="M33" s="399"/>
      <c r="N33" s="4"/>
      <c r="O33" s="397"/>
      <c r="P33" s="399"/>
      <c r="Q33" s="399"/>
      <c r="R33" s="4"/>
      <c r="S33" s="397"/>
      <c r="T33" s="399"/>
      <c r="U33" s="399"/>
      <c r="V33" s="4"/>
      <c r="W33" s="397"/>
      <c r="X33" s="399"/>
      <c r="Y33" s="399"/>
      <c r="Z33" s="4"/>
      <c r="AA33" s="397"/>
      <c r="AB33" s="399"/>
      <c r="AC33" s="399"/>
      <c r="AD33" s="4"/>
      <c r="AE33" s="397"/>
      <c r="AF33" s="399"/>
      <c r="AG33" s="399"/>
      <c r="AH33" s="399"/>
      <c r="AI33" s="4"/>
      <c r="AJ33" s="4"/>
      <c r="AK33" s="399"/>
      <c r="AL33" s="399"/>
      <c r="AM33" s="4"/>
      <c r="AO33" s="235"/>
      <c r="AP33" s="237"/>
      <c r="AQ33" s="301">
        <f>SUM(AQ28:AQ32)</f>
        <v>4924.7672224125727</v>
      </c>
      <c r="AR33" s="211"/>
      <c r="AS33" s="114"/>
      <c r="AT33" s="114"/>
      <c r="AU33" s="114"/>
      <c r="AV33" s="114"/>
    </row>
    <row r="34" spans="1:48" x14ac:dyDescent="0.25">
      <c r="A34" s="397"/>
      <c r="B34" s="420"/>
      <c r="C34" s="118"/>
      <c r="D34" s="415"/>
      <c r="E34" s="415"/>
      <c r="F34" s="4"/>
      <c r="G34" s="118"/>
      <c r="H34" s="415"/>
      <c r="I34" s="415"/>
      <c r="J34" s="4"/>
      <c r="K34" s="118"/>
      <c r="L34" s="415"/>
      <c r="M34" s="415"/>
      <c r="N34" s="4"/>
      <c r="O34" s="118"/>
      <c r="P34" s="415"/>
      <c r="Q34" s="415"/>
      <c r="R34" s="4"/>
      <c r="S34" s="118"/>
      <c r="T34" s="415"/>
      <c r="U34" s="415"/>
      <c r="V34" s="4"/>
      <c r="W34" s="118"/>
      <c r="X34" s="399"/>
      <c r="Y34" s="399"/>
      <c r="Z34" s="4"/>
      <c r="AA34" s="397"/>
      <c r="AB34" s="399"/>
      <c r="AC34" s="399"/>
      <c r="AD34" s="4"/>
      <c r="AE34" s="397"/>
      <c r="AF34" s="399"/>
      <c r="AG34" s="399"/>
      <c r="AH34" s="399"/>
      <c r="AI34" s="4"/>
      <c r="AJ34" s="4"/>
      <c r="AK34" s="399"/>
      <c r="AL34" s="399"/>
      <c r="AM34" s="4"/>
      <c r="AO34" s="212"/>
      <c r="AP34" s="212"/>
      <c r="AQ34" s="211"/>
      <c r="AR34" s="211"/>
      <c r="AS34" s="211"/>
      <c r="AT34" s="211"/>
      <c r="AU34" s="211"/>
      <c r="AV34" s="211"/>
    </row>
    <row r="35" spans="1:48" x14ac:dyDescent="0.25">
      <c r="D35" s="120"/>
      <c r="F35" s="216"/>
      <c r="H35" s="120"/>
      <c r="J35" s="216"/>
      <c r="L35" s="120"/>
      <c r="N35" s="216"/>
      <c r="P35" s="120"/>
      <c r="R35" s="216"/>
      <c r="T35" s="120"/>
      <c r="V35" s="80"/>
      <c r="X35" s="120"/>
      <c r="AB35" s="120"/>
      <c r="AF35" s="120"/>
      <c r="AG35" s="120"/>
      <c r="AK35" s="403"/>
      <c r="AO35" s="409">
        <f>-SUM(AO9:AO11)</f>
        <v>-41000</v>
      </c>
      <c r="AP35" s="131" t="s">
        <v>1446</v>
      </c>
      <c r="AQ35" s="211"/>
      <c r="AR35" s="211"/>
      <c r="AS35" s="211"/>
      <c r="AT35" s="211"/>
      <c r="AU35" s="211"/>
      <c r="AV35" s="211"/>
    </row>
    <row r="36" spans="1:48" x14ac:dyDescent="0.25">
      <c r="D36" s="120"/>
      <c r="F36" s="216"/>
      <c r="H36" s="120"/>
      <c r="J36" s="216"/>
      <c r="L36" s="120"/>
      <c r="N36" s="216"/>
      <c r="P36" s="120"/>
      <c r="R36" s="216"/>
      <c r="T36" s="120"/>
      <c r="V36" s="80"/>
      <c r="X36" s="120"/>
      <c r="AB36" s="120"/>
      <c r="AF36" s="120"/>
      <c r="AG36" s="120"/>
      <c r="AK36" s="403"/>
      <c r="AO36" s="212"/>
      <c r="AP36" s="212"/>
      <c r="AQ36" s="211"/>
      <c r="AR36" s="211"/>
      <c r="AS36" s="211"/>
      <c r="AT36" s="211"/>
      <c r="AU36" s="211"/>
      <c r="AV36" s="211"/>
    </row>
    <row r="37" spans="1:48" x14ac:dyDescent="0.25">
      <c r="D37" s="120"/>
      <c r="F37" s="216"/>
      <c r="H37" s="120"/>
      <c r="J37" s="216"/>
      <c r="L37" s="120"/>
      <c r="N37" s="216"/>
      <c r="P37" s="120"/>
      <c r="R37" s="216"/>
      <c r="T37" s="120"/>
      <c r="V37" s="80"/>
      <c r="X37" s="120"/>
      <c r="AB37" s="120"/>
      <c r="AF37" s="120"/>
      <c r="AG37" s="120"/>
      <c r="AK37" s="403"/>
      <c r="AO37" s="131"/>
      <c r="AP37" s="211"/>
      <c r="AQ37" s="211"/>
      <c r="AR37" s="211"/>
      <c r="AS37" s="211"/>
      <c r="AT37" s="211"/>
      <c r="AU37" s="211"/>
      <c r="AV37" s="211"/>
    </row>
    <row r="38" spans="1:48" x14ac:dyDescent="0.25">
      <c r="D38" s="120"/>
      <c r="F38" s="216"/>
      <c r="H38" s="120"/>
      <c r="J38" s="216"/>
      <c r="L38" s="120"/>
      <c r="N38" s="216"/>
      <c r="P38" s="120"/>
      <c r="R38" s="216"/>
      <c r="T38" s="120"/>
      <c r="V38" s="80"/>
      <c r="X38" s="120"/>
      <c r="AB38" s="120"/>
      <c r="AF38" s="120"/>
      <c r="AG38" s="120"/>
      <c r="AK38" s="403"/>
      <c r="AO38" s="131"/>
      <c r="AP38" s="211"/>
      <c r="AQ38" s="211"/>
      <c r="AR38" s="211"/>
      <c r="AS38" s="211"/>
      <c r="AT38" s="211"/>
      <c r="AU38" s="211"/>
      <c r="AV38" s="211"/>
    </row>
    <row r="39" spans="1:48" x14ac:dyDescent="0.25">
      <c r="D39" s="120"/>
      <c r="F39" s="216"/>
      <c r="H39" s="120"/>
      <c r="J39" s="216"/>
      <c r="L39" s="120"/>
      <c r="N39" s="216"/>
      <c r="P39" s="120"/>
      <c r="R39" s="216"/>
      <c r="T39" s="120"/>
      <c r="V39" s="80"/>
      <c r="X39" s="120"/>
      <c r="AB39" s="120"/>
      <c r="AF39" s="120"/>
      <c r="AG39" s="120"/>
      <c r="AK39" s="403"/>
      <c r="AO39" s="131"/>
      <c r="AP39" s="211"/>
      <c r="AQ39" s="211"/>
      <c r="AR39" s="211"/>
      <c r="AS39" s="211"/>
      <c r="AT39" s="211"/>
      <c r="AU39" s="211"/>
      <c r="AV39" s="211"/>
    </row>
    <row r="40" spans="1:48" x14ac:dyDescent="0.25">
      <c r="D40" s="120"/>
      <c r="F40" s="216"/>
      <c r="H40" s="120"/>
      <c r="J40" s="216"/>
      <c r="L40" s="120"/>
      <c r="N40" s="216"/>
      <c r="P40" s="120"/>
      <c r="R40" s="216"/>
      <c r="T40" s="120"/>
      <c r="V40" s="80"/>
      <c r="X40" s="120"/>
      <c r="AB40" s="120"/>
      <c r="AF40" s="120"/>
      <c r="AG40" s="120"/>
      <c r="AK40" s="403"/>
    </row>
    <row r="41" spans="1:48" x14ac:dyDescent="0.25">
      <c r="D41" s="120"/>
      <c r="H41" s="120"/>
      <c r="L41" s="120"/>
      <c r="P41" s="120"/>
      <c r="T41" s="120"/>
      <c r="X41" s="120"/>
      <c r="AB41" s="120"/>
      <c r="AF41" s="120"/>
      <c r="AG41" s="120"/>
      <c r="AK41" s="403"/>
    </row>
    <row r="42" spans="1:48" x14ac:dyDescent="0.25">
      <c r="D42" s="120"/>
      <c r="H42" s="120"/>
      <c r="L42" s="120"/>
      <c r="P42" s="120"/>
      <c r="T42" s="120"/>
      <c r="X42" s="120"/>
      <c r="AB42" s="120"/>
      <c r="AF42" s="120"/>
      <c r="AG42" s="120"/>
      <c r="AK42" s="403"/>
    </row>
    <row r="43" spans="1:48" x14ac:dyDescent="0.25">
      <c r="D43" s="120"/>
      <c r="H43" s="120"/>
      <c r="L43" s="120"/>
      <c r="P43" s="120"/>
      <c r="T43" s="120"/>
      <c r="X43" s="120"/>
      <c r="AB43" s="120"/>
      <c r="AF43" s="120"/>
      <c r="AG43" s="120"/>
      <c r="AK43" s="403"/>
    </row>
    <row r="44" spans="1:48" x14ac:dyDescent="0.25">
      <c r="D44" s="120"/>
      <c r="H44" s="120"/>
      <c r="L44" s="120"/>
      <c r="P44" s="120"/>
      <c r="T44" s="120"/>
      <c r="X44" s="120"/>
      <c r="AB44" s="120"/>
      <c r="AF44" s="120"/>
      <c r="AG44" s="120"/>
      <c r="AK44" s="403"/>
    </row>
    <row r="45" spans="1:48" x14ac:dyDescent="0.25">
      <c r="D45" s="120"/>
      <c r="H45" s="120"/>
      <c r="L45" s="120"/>
      <c r="P45" s="120"/>
      <c r="T45" s="120"/>
      <c r="X45" s="120"/>
      <c r="AB45" s="120"/>
      <c r="AF45" s="120"/>
      <c r="AG45" s="120"/>
      <c r="AK45" s="403"/>
    </row>
    <row r="46" spans="1:48" x14ac:dyDescent="0.25">
      <c r="D46" s="120"/>
      <c r="H46" s="120"/>
      <c r="L46" s="120"/>
      <c r="P46" s="120"/>
      <c r="T46" s="120"/>
      <c r="X46" s="120"/>
      <c r="AB46" s="120"/>
      <c r="AF46" s="120"/>
      <c r="AG46" s="120"/>
      <c r="AK46" s="403"/>
    </row>
    <row r="47" spans="1:48" x14ac:dyDescent="0.25">
      <c r="D47" s="120"/>
      <c r="H47" s="120"/>
      <c r="L47" s="120"/>
      <c r="P47" s="120"/>
      <c r="T47" s="120"/>
      <c r="X47" s="120"/>
      <c r="AB47" s="120"/>
      <c r="AF47" s="120"/>
      <c r="AG47" s="120"/>
      <c r="AK47" s="403"/>
    </row>
    <row r="48" spans="1:48"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403" t="s">
        <v>1511</v>
      </c>
      <c r="E124" s="211">
        <v>30.35</v>
      </c>
      <c r="F124" s="211">
        <v>25</v>
      </c>
      <c r="G124" s="397"/>
      <c r="H124" s="403"/>
      <c r="I124" s="394"/>
      <c r="J124" s="394"/>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sheetData>
  <sortState xmlns:xlrd2="http://schemas.microsoft.com/office/spreadsheetml/2017/richdata2" ref="A14:AA19">
    <sortCondition ref="B14:B19"/>
  </sortState>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6" orientation="landscape" copies="4" r:id="rId1"/>
  <headerFooter alignWithMargins="0">
    <oddHeader>&amp;C&amp;"-,Bold"Proposed Budget &amp; Analysis Report for FY20</oddHeader>
    <oddFooter>&amp;C&amp;D&amp;T&amp;R&amp;A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3:BA378"/>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37" style="161" customWidth="1"/>
    <col min="4" max="4" width="13.28515625" style="211" hidden="1" customWidth="1"/>
    <col min="5" max="5" width="11.42578125" style="211" hidden="1" customWidth="1"/>
    <col min="6" max="6" width="8" style="211" hidden="1" customWidth="1"/>
    <col min="7" max="7" width="1.85546875" style="213" hidden="1" customWidth="1"/>
    <col min="8" max="8" width="13.28515625" style="211" hidden="1" customWidth="1"/>
    <col min="9" max="9" width="11.42578125" style="211" hidden="1" customWidth="1"/>
    <col min="10" max="10" width="8" style="211" hidden="1" customWidth="1"/>
    <col min="11" max="11" width="1.85546875" style="213" hidden="1" customWidth="1"/>
    <col min="12" max="12" width="13.28515625" style="211" hidden="1" customWidth="1"/>
    <col min="13" max="13" width="11.42578125" style="211" hidden="1" customWidth="1"/>
    <col min="14" max="14" width="8" style="211" hidden="1" customWidth="1"/>
    <col min="15" max="15" width="1.85546875" style="213" hidden="1" customWidth="1"/>
    <col min="16" max="16" width="13.28515625" style="211" hidden="1" customWidth="1"/>
    <col min="17" max="17" width="11.42578125" style="211" hidden="1" customWidth="1"/>
    <col min="18" max="18" width="8" style="211" hidden="1" customWidth="1"/>
    <col min="19" max="19" width="1.85546875" style="213" hidden="1" customWidth="1"/>
    <col min="20" max="20" width="13.28515625" style="161" hidden="1" customWidth="1"/>
    <col min="21" max="21" width="11.42578125" style="161" hidden="1" customWidth="1"/>
    <col min="22" max="22" width="8" style="161" hidden="1" customWidth="1"/>
    <col min="23" max="23" width="1.85546875" style="103" hidden="1" customWidth="1"/>
    <col min="24" max="25" width="11.5703125" style="161" hidden="1" customWidth="1"/>
    <col min="26" max="26" width="8" style="161" hidden="1" customWidth="1"/>
    <col min="27" max="27" width="1.85546875" style="103" hidden="1" customWidth="1"/>
    <col min="28" max="29" width="11.5703125" style="161" customWidth="1"/>
    <col min="30" max="30" width="8" style="161" bestFit="1" customWidth="1"/>
    <col min="31" max="31" width="1.85546875" style="213" customWidth="1"/>
    <col min="32" max="32" width="11.5703125" style="211" hidden="1" customWidth="1"/>
    <col min="33" max="34" width="11.5703125" style="211" customWidth="1"/>
    <col min="35" max="35" width="8" style="211" bestFit="1" customWidth="1"/>
    <col min="36" max="36" width="1.85546875" style="161" customWidth="1"/>
    <col min="37" max="38" width="11.5703125" style="394" customWidth="1"/>
    <col min="39" max="39" width="8" style="394" bestFit="1" customWidth="1"/>
    <col min="40" max="40" width="1.85546875" style="397" customWidth="1"/>
    <col min="41" max="41" width="13.85546875" style="104" customWidth="1"/>
    <col min="42" max="42" width="11.28515625" style="104" customWidth="1"/>
    <col min="43" max="43" width="11.7109375" style="161" customWidth="1"/>
    <col min="44" max="44" width="27.42578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1981</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A5" s="161" t="s">
        <v>272</v>
      </c>
      <c r="C5" s="111" t="s">
        <v>276</v>
      </c>
      <c r="AQ5" s="211"/>
      <c r="AR5" s="111"/>
    </row>
    <row r="6" spans="1:44" s="394" customFormat="1" ht="14.25" x14ac:dyDescent="0.3">
      <c r="A6" s="394" t="s">
        <v>623</v>
      </c>
      <c r="B6" s="395" t="str">
        <f>MID(A6,14,4)</f>
        <v>5108</v>
      </c>
      <c r="C6" s="394" t="s">
        <v>1721</v>
      </c>
      <c r="D6" s="398">
        <v>0</v>
      </c>
      <c r="E6" s="398">
        <v>0</v>
      </c>
      <c r="F6" s="396"/>
      <c r="G6" s="397"/>
      <c r="H6" s="398">
        <v>1000</v>
      </c>
      <c r="I6" s="398">
        <v>51.2</v>
      </c>
      <c r="J6" s="396"/>
      <c r="K6" s="397"/>
      <c r="L6" s="398">
        <v>1000</v>
      </c>
      <c r="M6" s="398">
        <v>67.5</v>
      </c>
      <c r="N6" s="396"/>
      <c r="O6" s="397"/>
      <c r="P6" s="398">
        <v>1000</v>
      </c>
      <c r="Q6" s="398">
        <v>328.2</v>
      </c>
      <c r="R6" s="396"/>
      <c r="S6" s="397"/>
      <c r="T6" s="398">
        <v>1000</v>
      </c>
      <c r="U6" s="398">
        <v>0</v>
      </c>
      <c r="V6" s="396"/>
      <c r="W6" s="397"/>
      <c r="X6" s="398">
        <v>1000</v>
      </c>
      <c r="Y6" s="398">
        <v>851.76</v>
      </c>
      <c r="Z6" s="396">
        <v>0</v>
      </c>
      <c r="AA6" s="397"/>
      <c r="AB6" s="398">
        <v>1000</v>
      </c>
      <c r="AC6" s="398">
        <v>0</v>
      </c>
      <c r="AD6" s="396">
        <f>(AB6-X6)/X6</f>
        <v>0</v>
      </c>
      <c r="AE6" s="397"/>
      <c r="AF6" s="399">
        <v>1000</v>
      </c>
      <c r="AG6" s="380">
        <v>1000</v>
      </c>
      <c r="AH6" s="398">
        <v>0</v>
      </c>
      <c r="AI6" s="396">
        <f>(AG6-AB6)/AB6</f>
        <v>0</v>
      </c>
      <c r="AJ6" s="396"/>
      <c r="AK6" s="398">
        <v>3000</v>
      </c>
      <c r="AL6" s="398">
        <v>0</v>
      </c>
      <c r="AM6" s="396">
        <f>(AK6-AG6)/AG6</f>
        <v>2</v>
      </c>
      <c r="AN6" s="397"/>
      <c r="AO6" s="408">
        <f>'FY20 Payroll Schedule'!J80</f>
        <v>3000</v>
      </c>
      <c r="AP6" s="398">
        <f>AO6-AK6</f>
        <v>0</v>
      </c>
      <c r="AQ6" s="396">
        <f>(AO6-AK6)/AK6</f>
        <v>0</v>
      </c>
      <c r="AR6" s="167" t="s">
        <v>2080</v>
      </c>
    </row>
    <row r="7" spans="1:44" x14ac:dyDescent="0.25">
      <c r="A7" s="395" t="s">
        <v>1454</v>
      </c>
      <c r="B7" s="119" t="str">
        <f>MID(A7,14,4)</f>
        <v>5142</v>
      </c>
      <c r="C7" s="394" t="s">
        <v>1455</v>
      </c>
      <c r="D7" s="245">
        <v>0</v>
      </c>
      <c r="E7" s="245">
        <v>0</v>
      </c>
      <c r="F7" s="216"/>
      <c r="H7" s="245">
        <v>0</v>
      </c>
      <c r="I7" s="245">
        <v>0</v>
      </c>
      <c r="J7" s="216"/>
      <c r="L7" s="245">
        <v>0</v>
      </c>
      <c r="M7" s="245">
        <v>0</v>
      </c>
      <c r="N7" s="216"/>
      <c r="P7" s="245">
        <v>0</v>
      </c>
      <c r="Q7" s="245">
        <v>0</v>
      </c>
      <c r="R7" s="216"/>
      <c r="T7" s="162">
        <v>0</v>
      </c>
      <c r="U7" s="162">
        <v>0</v>
      </c>
      <c r="V7" s="80"/>
      <c r="X7" s="162">
        <v>0</v>
      </c>
      <c r="Y7" s="162">
        <v>0</v>
      </c>
      <c r="Z7" s="80" t="e">
        <v>#DIV/0!</v>
      </c>
      <c r="AB7" s="162">
        <v>0</v>
      </c>
      <c r="AC7" s="162">
        <v>0</v>
      </c>
      <c r="AD7" s="80"/>
      <c r="AF7" s="212"/>
      <c r="AG7" s="380"/>
      <c r="AH7" s="245"/>
      <c r="AI7" s="216"/>
      <c r="AJ7" s="80"/>
      <c r="AK7" s="398">
        <v>30</v>
      </c>
      <c r="AL7" s="398">
        <v>0</v>
      </c>
      <c r="AM7" s="396" t="e">
        <f>(AK7-AG7)/AG7</f>
        <v>#DIV/0!</v>
      </c>
      <c r="AO7" s="408">
        <f>'FY20 Payroll Schedule'!K80</f>
        <v>30</v>
      </c>
      <c r="AP7" s="398">
        <f>AO7-AK7</f>
        <v>0</v>
      </c>
      <c r="AQ7" s="396">
        <f>(AO7-AK7)/AK7</f>
        <v>0</v>
      </c>
      <c r="AR7" s="246"/>
    </row>
    <row r="8" spans="1:44" s="114" customFormat="1" x14ac:dyDescent="0.25">
      <c r="A8" s="224"/>
      <c r="B8" s="224"/>
      <c r="C8" s="224" t="s">
        <v>26</v>
      </c>
      <c r="D8" s="225">
        <f>SUM(D6:D7)</f>
        <v>0</v>
      </c>
      <c r="E8" s="225">
        <f>SUM(E6:E7)</f>
        <v>0</v>
      </c>
      <c r="F8" s="226">
        <v>0</v>
      </c>
      <c r="G8" s="224"/>
      <c r="H8" s="225">
        <f>SUM(H6:H7)</f>
        <v>1000</v>
      </c>
      <c r="I8" s="225">
        <f>SUM(I6:I7)</f>
        <v>51.2</v>
      </c>
      <c r="J8" s="226">
        <v>0</v>
      </c>
      <c r="K8" s="224"/>
      <c r="L8" s="225">
        <f>SUM(L6:L7)</f>
        <v>1000</v>
      </c>
      <c r="M8" s="225">
        <f>SUM(M6:M7)</f>
        <v>67.5</v>
      </c>
      <c r="N8" s="226">
        <v>0</v>
      </c>
      <c r="O8" s="224"/>
      <c r="P8" s="225">
        <f>SUM(P6:P7)</f>
        <v>1000</v>
      </c>
      <c r="Q8" s="225">
        <f>SUM(Q6:Q7)</f>
        <v>328.2</v>
      </c>
      <c r="R8" s="226">
        <v>0</v>
      </c>
      <c r="S8" s="224"/>
      <c r="T8" s="225">
        <f>SUM(T6:T7)</f>
        <v>1000</v>
      </c>
      <c r="U8" s="225">
        <f>SUM(U6:U7)</f>
        <v>0</v>
      </c>
      <c r="V8" s="226">
        <v>0</v>
      </c>
      <c r="W8" s="224"/>
      <c r="X8" s="225">
        <f>SUM(X6:X7)</f>
        <v>1000</v>
      </c>
      <c r="Y8" s="225">
        <f>SUM(Y6:Y7)</f>
        <v>851.76</v>
      </c>
      <c r="Z8" s="226">
        <f>(X8-T8)/T8</f>
        <v>0</v>
      </c>
      <c r="AA8" s="224"/>
      <c r="AB8" s="225">
        <f>SUM(AB6:AB7)</f>
        <v>1000</v>
      </c>
      <c r="AC8" s="225">
        <f>SUM(AC6:AC7)</f>
        <v>0</v>
      </c>
      <c r="AD8" s="226">
        <f>(AB8-X8)/X8</f>
        <v>0</v>
      </c>
      <c r="AE8" s="224"/>
      <c r="AF8" s="227">
        <f>SUM(AF6:AF7)</f>
        <v>1000</v>
      </c>
      <c r="AG8" s="381">
        <f>SUM(AG6:AG7)</f>
        <v>1000</v>
      </c>
      <c r="AH8" s="225">
        <f>SUM(AH6:AH7)</f>
        <v>0</v>
      </c>
      <c r="AI8" s="226">
        <f t="shared" ref="AI8:AI19" si="0">(AG8-AB8)/AB8</f>
        <v>0</v>
      </c>
      <c r="AJ8" s="226"/>
      <c r="AK8" s="225">
        <f>SUM(AK6:AK7)</f>
        <v>3030</v>
      </c>
      <c r="AL8" s="225">
        <f>SUM(AL6:AL7)</f>
        <v>0</v>
      </c>
      <c r="AM8" s="226">
        <f>(AK8-AG8)/AG8</f>
        <v>2.0299999999999998</v>
      </c>
      <c r="AN8" s="224"/>
      <c r="AO8" s="227">
        <f>SUM(AO6:AO7)</f>
        <v>3030</v>
      </c>
      <c r="AP8" s="227">
        <f>SUM(AP6:AP7)</f>
        <v>0</v>
      </c>
      <c r="AQ8" s="226">
        <f>(AO8-AK8)/AK8</f>
        <v>0</v>
      </c>
      <c r="AR8" s="224"/>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P9" s="112">
        <f>AO9-AG9</f>
        <v>0</v>
      </c>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P10" s="112">
        <f>AO10-AG10</f>
        <v>0</v>
      </c>
      <c r="AQ10" s="396"/>
      <c r="AR10" s="111"/>
    </row>
    <row r="11" spans="1:44" x14ac:dyDescent="0.25">
      <c r="A11" s="161" t="s">
        <v>624</v>
      </c>
      <c r="B11" s="119" t="str">
        <f t="shared" ref="B11:B18" si="1">MID(A11,14,4)</f>
        <v>5251</v>
      </c>
      <c r="C11" s="161" t="s">
        <v>1682</v>
      </c>
      <c r="D11" s="245">
        <v>200</v>
      </c>
      <c r="E11" s="245">
        <v>71.5</v>
      </c>
      <c r="F11" s="216"/>
      <c r="H11" s="245">
        <v>200</v>
      </c>
      <c r="I11" s="245">
        <v>305.41000000000003</v>
      </c>
      <c r="J11" s="216"/>
      <c r="L11" s="245">
        <v>200</v>
      </c>
      <c r="M11" s="245">
        <v>195</v>
      </c>
      <c r="N11" s="216"/>
      <c r="P11" s="245">
        <v>200</v>
      </c>
      <c r="Q11" s="245">
        <v>75.150000000000006</v>
      </c>
      <c r="R11" s="216"/>
      <c r="T11" s="245">
        <v>200</v>
      </c>
      <c r="U11" s="245">
        <v>0</v>
      </c>
      <c r="V11" s="216"/>
      <c r="W11" s="213"/>
      <c r="X11" s="245">
        <v>200</v>
      </c>
      <c r="Y11" s="245">
        <v>0</v>
      </c>
      <c r="Z11" s="216">
        <v>0</v>
      </c>
      <c r="AA11" s="213"/>
      <c r="AB11" s="245">
        <v>200</v>
      </c>
      <c r="AC11" s="245">
        <v>0</v>
      </c>
      <c r="AD11" s="216">
        <f t="shared" ref="AD11:AD18" si="2">(AB11-X11)/X11</f>
        <v>0</v>
      </c>
      <c r="AF11" s="212">
        <v>200</v>
      </c>
      <c r="AG11" s="212">
        <v>200</v>
      </c>
      <c r="AH11" s="245">
        <v>204</v>
      </c>
      <c r="AI11" s="216">
        <f t="shared" si="0"/>
        <v>0</v>
      </c>
      <c r="AJ11" s="80"/>
      <c r="AK11" s="398">
        <v>200</v>
      </c>
      <c r="AL11" s="398">
        <v>33.99</v>
      </c>
      <c r="AM11" s="396">
        <f>(AK11-AG11)/AG11</f>
        <v>0</v>
      </c>
      <c r="AO11" s="163">
        <v>200</v>
      </c>
      <c r="AP11" s="398">
        <f t="shared" ref="AP11:AP18" si="3">AO11-AK11</f>
        <v>0</v>
      </c>
      <c r="AQ11" s="396">
        <f t="shared" ref="AQ11:AQ18" si="4">(AO11-AK11)/AK11</f>
        <v>0</v>
      </c>
      <c r="AR11" s="217" t="s">
        <v>1087</v>
      </c>
    </row>
    <row r="12" spans="1:44" x14ac:dyDescent="0.25">
      <c r="A12" s="119" t="s">
        <v>956</v>
      </c>
      <c r="B12" s="119" t="str">
        <f t="shared" si="1"/>
        <v>5303</v>
      </c>
      <c r="C12" s="161" t="s">
        <v>1495</v>
      </c>
      <c r="D12" s="245">
        <v>0</v>
      </c>
      <c r="E12" s="245">
        <v>0</v>
      </c>
      <c r="F12" s="216"/>
      <c r="H12" s="245">
        <v>0</v>
      </c>
      <c r="I12" s="245">
        <v>0</v>
      </c>
      <c r="J12" s="216"/>
      <c r="L12" s="245">
        <v>0</v>
      </c>
      <c r="M12" s="245">
        <v>121.21</v>
      </c>
      <c r="N12" s="216"/>
      <c r="P12" s="245">
        <v>0</v>
      </c>
      <c r="Q12" s="245">
        <v>0</v>
      </c>
      <c r="R12" s="216"/>
      <c r="T12" s="245">
        <v>0</v>
      </c>
      <c r="U12" s="245">
        <v>0</v>
      </c>
      <c r="V12" s="216"/>
      <c r="W12" s="213"/>
      <c r="X12" s="245">
        <v>0</v>
      </c>
      <c r="Y12" s="245">
        <v>0</v>
      </c>
      <c r="Z12" s="216"/>
      <c r="AA12" s="213"/>
      <c r="AB12" s="245">
        <v>0</v>
      </c>
      <c r="AC12" s="245">
        <v>0</v>
      </c>
      <c r="AD12" s="216"/>
      <c r="AF12" s="245">
        <v>0</v>
      </c>
      <c r="AG12" s="245">
        <v>0</v>
      </c>
      <c r="AH12" s="245"/>
      <c r="AI12" s="216"/>
      <c r="AJ12" s="80"/>
      <c r="AK12" s="398">
        <v>300</v>
      </c>
      <c r="AL12" s="398">
        <v>0</v>
      </c>
      <c r="AM12" s="396"/>
      <c r="AO12" s="163">
        <v>300</v>
      </c>
      <c r="AP12" s="398">
        <f t="shared" si="3"/>
        <v>0</v>
      </c>
      <c r="AQ12" s="396">
        <f t="shared" si="4"/>
        <v>0</v>
      </c>
      <c r="AR12" s="217"/>
    </row>
    <row r="13" spans="1:44" s="211" customFormat="1" ht="14.25" x14ac:dyDescent="0.3">
      <c r="A13" s="214" t="s">
        <v>1271</v>
      </c>
      <c r="B13" s="214" t="str">
        <f>MID(A13,14,4)</f>
        <v>5341</v>
      </c>
      <c r="C13" s="211" t="s">
        <v>1640</v>
      </c>
      <c r="D13" s="245">
        <v>0</v>
      </c>
      <c r="E13" s="245">
        <v>0</v>
      </c>
      <c r="F13" s="216"/>
      <c r="G13" s="213"/>
      <c r="H13" s="245">
        <v>0</v>
      </c>
      <c r="I13" s="245">
        <v>0</v>
      </c>
      <c r="J13" s="216"/>
      <c r="K13" s="213"/>
      <c r="L13" s="245">
        <v>0</v>
      </c>
      <c r="M13" s="245">
        <v>0</v>
      </c>
      <c r="N13" s="216"/>
      <c r="O13" s="213"/>
      <c r="P13" s="245">
        <v>0</v>
      </c>
      <c r="Q13" s="245">
        <v>0</v>
      </c>
      <c r="R13" s="216"/>
      <c r="S13" s="213"/>
      <c r="T13" s="245">
        <v>0</v>
      </c>
      <c r="U13" s="245">
        <v>0</v>
      </c>
      <c r="V13" s="216"/>
      <c r="W13" s="213"/>
      <c r="X13" s="245">
        <v>0</v>
      </c>
      <c r="Y13" s="245">
        <v>0</v>
      </c>
      <c r="Z13" s="216"/>
      <c r="AA13" s="213"/>
      <c r="AB13" s="245">
        <v>0</v>
      </c>
      <c r="AC13" s="245">
        <v>883.65</v>
      </c>
      <c r="AD13" s="216"/>
      <c r="AE13" s="213"/>
      <c r="AF13" s="245">
        <v>0</v>
      </c>
      <c r="AG13" s="245">
        <v>0</v>
      </c>
      <c r="AH13" s="245">
        <v>545.95000000000005</v>
      </c>
      <c r="AI13" s="216"/>
      <c r="AJ13" s="216"/>
      <c r="AK13" s="398">
        <v>1080</v>
      </c>
      <c r="AL13" s="398">
        <v>454.95</v>
      </c>
      <c r="AM13" s="396"/>
      <c r="AN13" s="397"/>
      <c r="AO13" s="163">
        <v>1080</v>
      </c>
      <c r="AP13" s="398">
        <f t="shared" si="3"/>
        <v>0</v>
      </c>
      <c r="AQ13" s="396">
        <f t="shared" si="4"/>
        <v>0</v>
      </c>
      <c r="AR13" s="167"/>
    </row>
    <row r="14" spans="1:44" ht="14.25" x14ac:dyDescent="0.3">
      <c r="A14" s="161" t="s">
        <v>625</v>
      </c>
      <c r="B14" s="119" t="str">
        <f t="shared" si="1"/>
        <v>5399</v>
      </c>
      <c r="C14" s="161" t="s">
        <v>1602</v>
      </c>
      <c r="D14" s="245">
        <v>1787.17</v>
      </c>
      <c r="E14" s="245">
        <v>787.17</v>
      </c>
      <c r="F14" s="216"/>
      <c r="H14" s="245">
        <v>1700</v>
      </c>
      <c r="I14" s="245">
        <v>787.17</v>
      </c>
      <c r="J14" s="216"/>
      <c r="L14" s="245">
        <v>1700</v>
      </c>
      <c r="M14" s="245">
        <v>-2531.4</v>
      </c>
      <c r="N14" s="216"/>
      <c r="P14" s="245">
        <v>1700</v>
      </c>
      <c r="Q14" s="245">
        <v>1751.19</v>
      </c>
      <c r="R14" s="216"/>
      <c r="T14" s="245">
        <v>1700</v>
      </c>
      <c r="U14" s="245">
        <v>1211.9100000000001</v>
      </c>
      <c r="V14" s="216"/>
      <c r="W14" s="213"/>
      <c r="X14" s="245">
        <v>1700</v>
      </c>
      <c r="Y14" s="245">
        <v>2821.48</v>
      </c>
      <c r="Z14" s="216">
        <v>0</v>
      </c>
      <c r="AA14" s="213"/>
      <c r="AB14" s="245">
        <v>1700</v>
      </c>
      <c r="AC14" s="245">
        <v>814.91</v>
      </c>
      <c r="AD14" s="216">
        <f t="shared" si="2"/>
        <v>0</v>
      </c>
      <c r="AF14" s="245">
        <v>1700</v>
      </c>
      <c r="AG14" s="245">
        <v>1700</v>
      </c>
      <c r="AH14" s="245">
        <v>814.91</v>
      </c>
      <c r="AI14" s="216">
        <f t="shared" si="0"/>
        <v>0</v>
      </c>
      <c r="AJ14" s="80"/>
      <c r="AK14" s="398">
        <v>1700</v>
      </c>
      <c r="AL14" s="398">
        <v>814.91</v>
      </c>
      <c r="AM14" s="396">
        <f t="shared" ref="AM14:AM19" si="5">(AK14-AG14)/AG14</f>
        <v>0</v>
      </c>
      <c r="AO14" s="163">
        <v>2200</v>
      </c>
      <c r="AP14" s="398">
        <f t="shared" si="3"/>
        <v>500</v>
      </c>
      <c r="AQ14" s="396">
        <f t="shared" si="4"/>
        <v>0.29411764705882354</v>
      </c>
      <c r="AR14" s="167" t="s">
        <v>1436</v>
      </c>
    </row>
    <row r="15" spans="1:44" ht="14.25" x14ac:dyDescent="0.3">
      <c r="A15" s="161" t="s">
        <v>626</v>
      </c>
      <c r="B15" s="119" t="str">
        <f t="shared" si="1"/>
        <v>5589</v>
      </c>
      <c r="C15" s="161" t="s">
        <v>1604</v>
      </c>
      <c r="D15" s="245">
        <v>1000</v>
      </c>
      <c r="E15" s="245">
        <v>698.51</v>
      </c>
      <c r="F15" s="216"/>
      <c r="H15" s="245">
        <v>1000</v>
      </c>
      <c r="I15" s="245">
        <v>92.9</v>
      </c>
      <c r="J15" s="216"/>
      <c r="L15" s="245">
        <v>1000</v>
      </c>
      <c r="M15" s="245">
        <v>450</v>
      </c>
      <c r="N15" s="216"/>
      <c r="P15" s="245">
        <v>1000</v>
      </c>
      <c r="Q15" s="245">
        <v>543.30999999999995</v>
      </c>
      <c r="R15" s="216"/>
      <c r="T15" s="245">
        <v>1000</v>
      </c>
      <c r="U15" s="245">
        <v>1547.98</v>
      </c>
      <c r="V15" s="216"/>
      <c r="W15" s="213"/>
      <c r="X15" s="245">
        <v>1000</v>
      </c>
      <c r="Y15" s="245">
        <v>1110.0899999999999</v>
      </c>
      <c r="Z15" s="216">
        <v>0</v>
      </c>
      <c r="AA15" s="213"/>
      <c r="AB15" s="245">
        <v>800</v>
      </c>
      <c r="AC15" s="245">
        <v>1556.71</v>
      </c>
      <c r="AD15" s="216">
        <f t="shared" si="2"/>
        <v>-0.2</v>
      </c>
      <c r="AF15" s="245">
        <v>800</v>
      </c>
      <c r="AG15" s="245">
        <v>800</v>
      </c>
      <c r="AH15" s="245">
        <v>0</v>
      </c>
      <c r="AI15" s="216">
        <f t="shared" si="0"/>
        <v>0</v>
      </c>
      <c r="AJ15" s="80"/>
      <c r="AK15" s="398">
        <v>800</v>
      </c>
      <c r="AL15" s="398">
        <v>245.88</v>
      </c>
      <c r="AM15" s="396">
        <f t="shared" si="5"/>
        <v>0</v>
      </c>
      <c r="AO15" s="163">
        <v>800</v>
      </c>
      <c r="AP15" s="398">
        <f t="shared" si="3"/>
        <v>0</v>
      </c>
      <c r="AQ15" s="396">
        <f t="shared" si="4"/>
        <v>0</v>
      </c>
      <c r="AR15" s="167" t="s">
        <v>1088</v>
      </c>
    </row>
    <row r="16" spans="1:44" ht="14.25" x14ac:dyDescent="0.3">
      <c r="A16" s="161" t="s">
        <v>627</v>
      </c>
      <c r="B16" s="119" t="str">
        <f t="shared" si="1"/>
        <v>5700</v>
      </c>
      <c r="C16" s="161" t="s">
        <v>1785</v>
      </c>
      <c r="D16" s="245">
        <v>1000</v>
      </c>
      <c r="E16" s="245">
        <v>0</v>
      </c>
      <c r="F16" s="216"/>
      <c r="H16" s="245">
        <v>1000</v>
      </c>
      <c r="I16" s="245">
        <v>0</v>
      </c>
      <c r="J16" s="216"/>
      <c r="L16" s="245">
        <v>1000</v>
      </c>
      <c r="M16" s="245">
        <v>0</v>
      </c>
      <c r="N16" s="216"/>
      <c r="P16" s="245">
        <v>1000</v>
      </c>
      <c r="Q16" s="245">
        <v>0</v>
      </c>
      <c r="R16" s="216"/>
      <c r="T16" s="245">
        <v>1000</v>
      </c>
      <c r="U16" s="245">
        <v>622.5</v>
      </c>
      <c r="V16" s="216"/>
      <c r="W16" s="213"/>
      <c r="X16" s="245">
        <v>1000</v>
      </c>
      <c r="Y16" s="245">
        <v>0</v>
      </c>
      <c r="Z16" s="216">
        <v>0</v>
      </c>
      <c r="AA16" s="213"/>
      <c r="AB16" s="245">
        <v>1000</v>
      </c>
      <c r="AC16" s="245">
        <v>1123.49</v>
      </c>
      <c r="AD16" s="216">
        <f t="shared" si="2"/>
        <v>0</v>
      </c>
      <c r="AF16" s="245">
        <v>1000</v>
      </c>
      <c r="AG16" s="245">
        <v>1000</v>
      </c>
      <c r="AH16" s="245">
        <v>0</v>
      </c>
      <c r="AI16" s="216">
        <f t="shared" si="0"/>
        <v>0</v>
      </c>
      <c r="AJ16" s="80"/>
      <c r="AK16" s="398">
        <v>1000</v>
      </c>
      <c r="AL16" s="398">
        <v>0</v>
      </c>
      <c r="AM16" s="396">
        <f t="shared" si="5"/>
        <v>0</v>
      </c>
      <c r="AO16" s="163">
        <v>1000</v>
      </c>
      <c r="AP16" s="398">
        <f t="shared" si="3"/>
        <v>0</v>
      </c>
      <c r="AQ16" s="396">
        <f t="shared" si="4"/>
        <v>0</v>
      </c>
      <c r="AR16" s="167" t="s">
        <v>1089</v>
      </c>
    </row>
    <row r="17" spans="1:53" s="211" customFormat="1" ht="14.25" x14ac:dyDescent="0.3">
      <c r="A17" s="211" t="s">
        <v>1127</v>
      </c>
      <c r="B17" s="214">
        <v>5710</v>
      </c>
      <c r="C17" s="211" t="s">
        <v>1605</v>
      </c>
      <c r="D17" s="245">
        <v>0</v>
      </c>
      <c r="E17" s="245">
        <v>0</v>
      </c>
      <c r="F17" s="216"/>
      <c r="G17" s="213"/>
      <c r="H17" s="245">
        <v>0</v>
      </c>
      <c r="I17" s="245">
        <v>0</v>
      </c>
      <c r="J17" s="216"/>
      <c r="K17" s="213"/>
      <c r="L17" s="245">
        <v>0</v>
      </c>
      <c r="M17" s="245">
        <v>0</v>
      </c>
      <c r="N17" s="216"/>
      <c r="O17" s="213"/>
      <c r="P17" s="245">
        <v>0</v>
      </c>
      <c r="Q17" s="245">
        <v>0</v>
      </c>
      <c r="R17" s="216"/>
      <c r="S17" s="213"/>
      <c r="T17" s="245">
        <v>0</v>
      </c>
      <c r="U17" s="245">
        <v>0</v>
      </c>
      <c r="V17" s="216"/>
      <c r="W17" s="213"/>
      <c r="X17" s="245">
        <v>0</v>
      </c>
      <c r="Y17" s="245">
        <v>160.22</v>
      </c>
      <c r="Z17" s="216" t="e">
        <v>#DIV/0!</v>
      </c>
      <c r="AA17" s="213"/>
      <c r="AB17" s="245">
        <v>200</v>
      </c>
      <c r="AC17" s="245">
        <v>0</v>
      </c>
      <c r="AD17" s="216"/>
      <c r="AE17" s="213"/>
      <c r="AF17" s="245">
        <v>200</v>
      </c>
      <c r="AG17" s="245">
        <v>200</v>
      </c>
      <c r="AH17" s="245">
        <v>0</v>
      </c>
      <c r="AI17" s="216">
        <f t="shared" si="0"/>
        <v>0</v>
      </c>
      <c r="AJ17" s="216"/>
      <c r="AK17" s="398">
        <v>200</v>
      </c>
      <c r="AL17" s="398">
        <v>207.55</v>
      </c>
      <c r="AM17" s="396">
        <f t="shared" si="5"/>
        <v>0</v>
      </c>
      <c r="AN17" s="397"/>
      <c r="AO17" s="163">
        <v>300</v>
      </c>
      <c r="AP17" s="398">
        <f t="shared" si="3"/>
        <v>100</v>
      </c>
      <c r="AQ17" s="396">
        <f t="shared" si="4"/>
        <v>0.5</v>
      </c>
      <c r="AR17" s="167" t="s">
        <v>1196</v>
      </c>
    </row>
    <row r="18" spans="1:53" ht="14.25" x14ac:dyDescent="0.3">
      <c r="A18" s="161" t="s">
        <v>628</v>
      </c>
      <c r="B18" s="119" t="str">
        <f t="shared" si="1"/>
        <v>5730</v>
      </c>
      <c r="C18" s="161" t="s">
        <v>1594</v>
      </c>
      <c r="D18" s="245">
        <v>200</v>
      </c>
      <c r="E18" s="245">
        <v>250</v>
      </c>
      <c r="F18" s="216"/>
      <c r="H18" s="245">
        <v>250</v>
      </c>
      <c r="I18" s="245">
        <v>250</v>
      </c>
      <c r="J18" s="216"/>
      <c r="L18" s="245">
        <v>250</v>
      </c>
      <c r="M18" s="245">
        <v>250</v>
      </c>
      <c r="N18" s="216"/>
      <c r="P18" s="245">
        <v>250</v>
      </c>
      <c r="Q18" s="245">
        <v>250</v>
      </c>
      <c r="R18" s="216"/>
      <c r="T18" s="245">
        <v>250</v>
      </c>
      <c r="U18" s="245">
        <v>0</v>
      </c>
      <c r="V18" s="216"/>
      <c r="W18" s="213"/>
      <c r="X18" s="245">
        <v>250</v>
      </c>
      <c r="Y18" s="245">
        <v>0</v>
      </c>
      <c r="Z18" s="216">
        <v>0</v>
      </c>
      <c r="AA18" s="213"/>
      <c r="AB18" s="245">
        <v>250</v>
      </c>
      <c r="AC18" s="245">
        <v>0</v>
      </c>
      <c r="AD18" s="216">
        <f t="shared" si="2"/>
        <v>0</v>
      </c>
      <c r="AF18" s="245">
        <v>250</v>
      </c>
      <c r="AG18" s="245">
        <v>250</v>
      </c>
      <c r="AH18" s="245">
        <v>0</v>
      </c>
      <c r="AI18" s="216">
        <f t="shared" si="0"/>
        <v>0</v>
      </c>
      <c r="AJ18" s="80"/>
      <c r="AK18" s="398">
        <v>250</v>
      </c>
      <c r="AL18" s="398">
        <v>0</v>
      </c>
      <c r="AM18" s="396">
        <f t="shared" si="5"/>
        <v>0</v>
      </c>
      <c r="AO18" s="163">
        <v>250</v>
      </c>
      <c r="AP18" s="398">
        <f t="shared" si="3"/>
        <v>0</v>
      </c>
      <c r="AQ18" s="396">
        <f t="shared" si="4"/>
        <v>0</v>
      </c>
      <c r="AR18" s="167" t="s">
        <v>1090</v>
      </c>
    </row>
    <row r="19" spans="1:53" s="114" customFormat="1" x14ac:dyDescent="0.25">
      <c r="A19" s="219"/>
      <c r="B19" s="219"/>
      <c r="C19" s="219" t="s">
        <v>279</v>
      </c>
      <c r="D19" s="220">
        <f>SUM(D11:D18)</f>
        <v>4187.17</v>
      </c>
      <c r="E19" s="220">
        <f>SUM(E11:E18)</f>
        <v>1807.1799999999998</v>
      </c>
      <c r="F19" s="221">
        <v>0</v>
      </c>
      <c r="G19" s="219"/>
      <c r="H19" s="220">
        <f>SUM(H11:H18)</f>
        <v>4150</v>
      </c>
      <c r="I19" s="220">
        <f>SUM(I11:I18)</f>
        <v>1435.48</v>
      </c>
      <c r="J19" s="221">
        <v>0</v>
      </c>
      <c r="K19" s="219"/>
      <c r="L19" s="220">
        <f>SUM(L11:L18)</f>
        <v>4150</v>
      </c>
      <c r="M19" s="220">
        <f>SUM(M11:M18)</f>
        <v>-1515.19</v>
      </c>
      <c r="N19" s="221">
        <v>0</v>
      </c>
      <c r="O19" s="219"/>
      <c r="P19" s="220">
        <f>SUM(P11:P18)</f>
        <v>4150</v>
      </c>
      <c r="Q19" s="220">
        <f>SUM(Q11:Q18)</f>
        <v>2619.65</v>
      </c>
      <c r="R19" s="221">
        <v>0</v>
      </c>
      <c r="S19" s="219"/>
      <c r="T19" s="220">
        <f>SUM(T11:T18)</f>
        <v>4150</v>
      </c>
      <c r="U19" s="220">
        <f>SUM(U11:U18)</f>
        <v>3382.3900000000003</v>
      </c>
      <c r="V19" s="221">
        <v>0</v>
      </c>
      <c r="W19" s="219"/>
      <c r="X19" s="220">
        <f>SUM(X11:X18)</f>
        <v>4150</v>
      </c>
      <c r="Y19" s="220">
        <f>SUM(Y11:Y18)</f>
        <v>4091.7899999999995</v>
      </c>
      <c r="Z19" s="222">
        <f>(X19-T19)/T19</f>
        <v>0</v>
      </c>
      <c r="AA19" s="219"/>
      <c r="AB19" s="220">
        <f>SUM(AB11:AB18)</f>
        <v>4150</v>
      </c>
      <c r="AC19" s="220">
        <f>SUM(AC11:AC18)</f>
        <v>4378.76</v>
      </c>
      <c r="AD19" s="221">
        <f>(AB19-X19)/X19</f>
        <v>0</v>
      </c>
      <c r="AE19" s="219"/>
      <c r="AF19" s="220">
        <f>SUM(AF11:AF18)</f>
        <v>4150</v>
      </c>
      <c r="AG19" s="220">
        <f>SUM(AG11:AG18)</f>
        <v>4150</v>
      </c>
      <c r="AH19" s="220">
        <f>SUM(AH11:AH18)</f>
        <v>1564.8600000000001</v>
      </c>
      <c r="AI19" s="221">
        <f t="shared" si="0"/>
        <v>0</v>
      </c>
      <c r="AJ19" s="221"/>
      <c r="AK19" s="401">
        <f>SUM(AK11:AK18)</f>
        <v>5530</v>
      </c>
      <c r="AL19" s="401">
        <f>SUM(AL11:AL18)</f>
        <v>1757.28</v>
      </c>
      <c r="AM19" s="221">
        <f t="shared" si="5"/>
        <v>0.3325301204819277</v>
      </c>
      <c r="AN19" s="219"/>
      <c r="AO19" s="223">
        <f>SUM(AO11:AO18)</f>
        <v>6130</v>
      </c>
      <c r="AP19" s="223">
        <f>SUM(AP11:AP18)</f>
        <v>600</v>
      </c>
      <c r="AQ19" s="221">
        <f>(AO19-AK19)/AK19</f>
        <v>0.10849909584086799</v>
      </c>
      <c r="AR19" s="219"/>
    </row>
    <row r="20" spans="1:53" s="211" customFormat="1" x14ac:dyDescent="0.25">
      <c r="D20" s="112"/>
      <c r="E20" s="112"/>
      <c r="F20" s="216"/>
      <c r="G20" s="213"/>
      <c r="H20" s="112"/>
      <c r="I20" s="112"/>
      <c r="J20" s="216"/>
      <c r="K20" s="213"/>
      <c r="L20" s="112"/>
      <c r="M20" s="112"/>
      <c r="N20" s="216"/>
      <c r="O20" s="213"/>
      <c r="P20" s="112"/>
      <c r="Q20" s="112"/>
      <c r="R20" s="216"/>
      <c r="S20" s="213"/>
      <c r="T20" s="112"/>
      <c r="U20" s="112"/>
      <c r="V20" s="216"/>
      <c r="W20" s="213"/>
      <c r="X20" s="112"/>
      <c r="Y20" s="112"/>
      <c r="Z20" s="216"/>
      <c r="AA20" s="213"/>
      <c r="AB20" s="112"/>
      <c r="AC20" s="112"/>
      <c r="AD20" s="216"/>
      <c r="AE20" s="213"/>
      <c r="AF20" s="112"/>
      <c r="AG20" s="112"/>
      <c r="AH20" s="112"/>
      <c r="AI20" s="216"/>
      <c r="AJ20" s="216"/>
      <c r="AK20" s="112"/>
      <c r="AL20" s="112"/>
      <c r="AM20" s="396"/>
      <c r="AN20" s="397"/>
      <c r="AO20" s="212"/>
      <c r="AP20" s="112"/>
      <c r="AQ20" s="396"/>
    </row>
    <row r="21" spans="1:53" s="114" customFormat="1" ht="12.75" x14ac:dyDescent="0.2">
      <c r="A21" s="228"/>
      <c r="B21" s="228"/>
      <c r="C21" s="229" t="s">
        <v>280</v>
      </c>
      <c r="D21" s="230">
        <f>D8+D19</f>
        <v>4187.17</v>
      </c>
      <c r="E21" s="230">
        <f>E8+E19</f>
        <v>1807.1799999999998</v>
      </c>
      <c r="F21" s="231">
        <v>0</v>
      </c>
      <c r="G21" s="228"/>
      <c r="H21" s="230">
        <f>H8+H19</f>
        <v>5150</v>
      </c>
      <c r="I21" s="230">
        <f>I8+I19</f>
        <v>1486.68</v>
      </c>
      <c r="J21" s="231">
        <v>0</v>
      </c>
      <c r="K21" s="228"/>
      <c r="L21" s="230">
        <f>L8+L19</f>
        <v>5150</v>
      </c>
      <c r="M21" s="230">
        <f>M8+M19</f>
        <v>-1447.69</v>
      </c>
      <c r="N21" s="231">
        <v>0</v>
      </c>
      <c r="O21" s="228"/>
      <c r="P21" s="230">
        <f>P8+P19</f>
        <v>5150</v>
      </c>
      <c r="Q21" s="230">
        <f>Q8+Q19</f>
        <v>2947.85</v>
      </c>
      <c r="R21" s="231">
        <v>0</v>
      </c>
      <c r="S21" s="228"/>
      <c r="T21" s="230">
        <f>T8+T19</f>
        <v>5150</v>
      </c>
      <c r="U21" s="230">
        <f>U8+U19</f>
        <v>3382.3900000000003</v>
      </c>
      <c r="V21" s="231">
        <v>0</v>
      </c>
      <c r="W21" s="228"/>
      <c r="X21" s="230">
        <f>X8+X19</f>
        <v>5150</v>
      </c>
      <c r="Y21" s="230">
        <f>Y8+Y19</f>
        <v>4943.5499999999993</v>
      </c>
      <c r="Z21" s="231">
        <f>(X21-T21)/T21</f>
        <v>0</v>
      </c>
      <c r="AA21" s="228"/>
      <c r="AB21" s="230">
        <f>AB8+AB19</f>
        <v>5150</v>
      </c>
      <c r="AC21" s="230">
        <f>AC8+AC19</f>
        <v>4378.76</v>
      </c>
      <c r="AD21" s="231">
        <f>(AB21-X21)/X21</f>
        <v>0</v>
      </c>
      <c r="AE21" s="228"/>
      <c r="AF21" s="230">
        <f>AF8+AF19</f>
        <v>5150</v>
      </c>
      <c r="AG21" s="382">
        <f>AG8+AG19</f>
        <v>5150</v>
      </c>
      <c r="AH21" s="230">
        <f>AH8+AH19</f>
        <v>1564.8600000000001</v>
      </c>
      <c r="AI21" s="231">
        <f>(AG21-AB21)/AB21</f>
        <v>0</v>
      </c>
      <c r="AJ21" s="231"/>
      <c r="AK21" s="402">
        <f>AK8+AK19</f>
        <v>8560</v>
      </c>
      <c r="AL21" s="402">
        <f>AL8+AL19</f>
        <v>1757.28</v>
      </c>
      <c r="AM21" s="231">
        <f>(AK21-AG21)/AG21</f>
        <v>0.6621359223300971</v>
      </c>
      <c r="AN21" s="228"/>
      <c r="AO21" s="230">
        <f>AO8+AO19</f>
        <v>9160</v>
      </c>
      <c r="AP21" s="402">
        <f>AP8+AP19</f>
        <v>600</v>
      </c>
      <c r="AQ21" s="231">
        <f>(AO21-AK21)/AK21</f>
        <v>7.0093457943925228E-2</v>
      </c>
      <c r="AR21" s="233"/>
    </row>
    <row r="22" spans="1:53" x14ac:dyDescent="0.25">
      <c r="D22" s="120"/>
      <c r="F22" s="216"/>
      <c r="H22" s="120"/>
      <c r="J22" s="216"/>
      <c r="L22" s="120"/>
      <c r="N22" s="216"/>
      <c r="P22" s="120"/>
      <c r="R22" s="216"/>
      <c r="T22" s="120"/>
      <c r="V22" s="80"/>
      <c r="X22" s="120"/>
      <c r="AB22" s="120"/>
      <c r="AF22" s="120"/>
      <c r="AG22" s="120"/>
      <c r="AK22" s="403"/>
      <c r="AP22" s="211"/>
    </row>
    <row r="23" spans="1:53" s="111" customFormat="1" ht="14.25" thickBot="1" x14ac:dyDescent="0.3">
      <c r="C23" s="111" t="s">
        <v>281</v>
      </c>
      <c r="D23" s="122"/>
      <c r="E23" s="121">
        <f>D21-E21</f>
        <v>2379.9900000000002</v>
      </c>
      <c r="F23" s="216"/>
      <c r="G23" s="118"/>
      <c r="H23" s="122"/>
      <c r="I23" s="121">
        <f>H21-I21</f>
        <v>3663.3199999999997</v>
      </c>
      <c r="J23" s="216"/>
      <c r="K23" s="118"/>
      <c r="L23" s="122"/>
      <c r="M23" s="121">
        <f>L21-M21</f>
        <v>6597.6900000000005</v>
      </c>
      <c r="N23" s="216"/>
      <c r="O23" s="118"/>
      <c r="P23" s="122"/>
      <c r="Q23" s="121">
        <f>P21-Q21</f>
        <v>2202.15</v>
      </c>
      <c r="R23" s="216"/>
      <c r="S23" s="118"/>
      <c r="T23" s="122"/>
      <c r="U23" s="121">
        <f>T21-U21</f>
        <v>1767.6099999999997</v>
      </c>
      <c r="V23" s="80"/>
      <c r="W23" s="118"/>
      <c r="X23" s="122"/>
      <c r="Y23" s="121">
        <f>X21-Y21</f>
        <v>206.45000000000073</v>
      </c>
      <c r="AA23" s="118"/>
      <c r="AB23" s="122"/>
      <c r="AC23" s="121">
        <f>AB21-AC21</f>
        <v>771.23999999999978</v>
      </c>
      <c r="AE23" s="118"/>
      <c r="AF23" s="122"/>
      <c r="AG23" s="122"/>
      <c r="AH23" s="121">
        <f>AG21-AH21</f>
        <v>3585.14</v>
      </c>
      <c r="AK23" s="122"/>
      <c r="AL23" s="121">
        <f>AK21-AL21</f>
        <v>6802.72</v>
      </c>
      <c r="AN23" s="118"/>
      <c r="AO23" s="123"/>
      <c r="AP23" s="123"/>
    </row>
    <row r="24" spans="1:53" ht="14.25" thickTop="1" x14ac:dyDescent="0.25">
      <c r="D24" s="120"/>
      <c r="F24" s="216"/>
      <c r="H24" s="120"/>
      <c r="J24" s="216"/>
      <c r="L24" s="120"/>
      <c r="N24" s="216"/>
      <c r="P24" s="120"/>
      <c r="R24" s="216"/>
      <c r="T24" s="120"/>
      <c r="V24" s="80"/>
      <c r="X24" s="120"/>
      <c r="AB24" s="120"/>
      <c r="AF24" s="120"/>
      <c r="AG24" s="120"/>
      <c r="AK24" s="403"/>
      <c r="AO24" s="240" t="s">
        <v>1195</v>
      </c>
      <c r="AP24" s="241"/>
      <c r="AQ24" s="242"/>
      <c r="AR24" s="211"/>
      <c r="AS24" s="111"/>
      <c r="AT24" s="111"/>
      <c r="AU24" s="111"/>
      <c r="AV24" s="111"/>
      <c r="AW24" s="211"/>
      <c r="AX24" s="211"/>
      <c r="AY24" s="211"/>
      <c r="AZ24" s="211"/>
      <c r="BA24" s="211"/>
    </row>
    <row r="25" spans="1:53" x14ac:dyDescent="0.25">
      <c r="A25" s="397"/>
      <c r="B25" s="397"/>
      <c r="C25" s="416"/>
      <c r="D25" s="397"/>
      <c r="E25" s="397"/>
      <c r="F25" s="4"/>
      <c r="G25" s="397"/>
      <c r="H25" s="397"/>
      <c r="I25" s="397"/>
      <c r="J25" s="4"/>
      <c r="K25" s="397"/>
      <c r="L25" s="397"/>
      <c r="M25" s="397"/>
      <c r="N25" s="4"/>
      <c r="O25" s="397"/>
      <c r="P25" s="397"/>
      <c r="Q25" s="397"/>
      <c r="R25" s="4"/>
      <c r="S25" s="397"/>
      <c r="T25" s="397"/>
      <c r="U25" s="397"/>
      <c r="V25" s="4"/>
      <c r="W25" s="397"/>
      <c r="X25" s="397"/>
      <c r="Y25" s="397"/>
      <c r="Z25" s="397"/>
      <c r="AA25" s="397"/>
      <c r="AB25" s="397"/>
      <c r="AC25" s="397"/>
      <c r="AD25" s="397"/>
      <c r="AE25" s="397"/>
      <c r="AF25" s="397"/>
      <c r="AG25" s="397"/>
      <c r="AH25" s="397"/>
      <c r="AI25" s="397"/>
      <c r="AJ25" s="397"/>
      <c r="AK25" s="397"/>
      <c r="AL25" s="397"/>
      <c r="AM25" s="397"/>
      <c r="AO25" s="243" t="s">
        <v>313</v>
      </c>
      <c r="AP25" s="5"/>
      <c r="AQ25" s="299">
        <f>AO8*0.0145</f>
        <v>43.935000000000002</v>
      </c>
      <c r="AR25" s="211"/>
      <c r="AS25" s="211"/>
      <c r="AT25" s="211"/>
      <c r="AU25" s="211"/>
      <c r="AV25" s="211"/>
      <c r="AW25" s="211"/>
      <c r="AX25" s="211"/>
      <c r="AY25" s="211"/>
      <c r="AZ25" s="211"/>
      <c r="BA25" s="211"/>
    </row>
    <row r="26" spans="1:53" x14ac:dyDescent="0.25">
      <c r="A26" s="174"/>
      <c r="B26" s="174"/>
      <c r="C26" s="397"/>
      <c r="D26" s="399"/>
      <c r="E26" s="399"/>
      <c r="F26" s="4"/>
      <c r="G26" s="397"/>
      <c r="H26" s="399"/>
      <c r="I26" s="399"/>
      <c r="J26" s="4"/>
      <c r="K26" s="397"/>
      <c r="L26" s="399"/>
      <c r="M26" s="399"/>
      <c r="N26" s="4"/>
      <c r="O26" s="397"/>
      <c r="P26" s="399"/>
      <c r="Q26" s="399"/>
      <c r="R26" s="4"/>
      <c r="S26" s="397"/>
      <c r="T26" s="399"/>
      <c r="U26" s="399"/>
      <c r="V26" s="4"/>
      <c r="W26" s="397"/>
      <c r="X26" s="399"/>
      <c r="Y26" s="399"/>
      <c r="Z26" s="4"/>
      <c r="AA26" s="397"/>
      <c r="AB26" s="399"/>
      <c r="AC26" s="399"/>
      <c r="AD26" s="4"/>
      <c r="AE26" s="397"/>
      <c r="AF26" s="399"/>
      <c r="AG26" s="399"/>
      <c r="AH26" s="399"/>
      <c r="AI26" s="4"/>
      <c r="AJ26" s="4"/>
      <c r="AK26" s="399"/>
      <c r="AL26" s="399"/>
      <c r="AM26" s="4"/>
      <c r="AO26" s="210" t="s">
        <v>314</v>
      </c>
      <c r="AP26" s="5"/>
      <c r="AQ26" s="299">
        <f>AO8*0.0009</f>
        <v>2.7269999999999999</v>
      </c>
      <c r="AR26" s="211"/>
      <c r="AS26" s="213"/>
      <c r="AT26" s="213"/>
      <c r="AU26" s="213"/>
      <c r="AV26" s="213"/>
      <c r="AW26" s="211"/>
      <c r="AX26" s="211"/>
      <c r="AY26" s="211"/>
      <c r="AZ26" s="211"/>
      <c r="BA26" s="211"/>
    </row>
    <row r="27" spans="1:53" x14ac:dyDescent="0.25">
      <c r="A27" s="397"/>
      <c r="B27" s="397"/>
      <c r="C27" s="118"/>
      <c r="D27" s="415"/>
      <c r="E27" s="415"/>
      <c r="F27" s="4"/>
      <c r="G27" s="118"/>
      <c r="H27" s="415"/>
      <c r="I27" s="415"/>
      <c r="J27" s="4"/>
      <c r="K27" s="118"/>
      <c r="L27" s="415"/>
      <c r="M27" s="415"/>
      <c r="N27" s="4"/>
      <c r="O27" s="118"/>
      <c r="P27" s="415"/>
      <c r="Q27" s="415"/>
      <c r="R27" s="4"/>
      <c r="S27" s="118"/>
      <c r="T27" s="415"/>
      <c r="U27" s="415"/>
      <c r="V27" s="4"/>
      <c r="W27" s="118"/>
      <c r="X27" s="415"/>
      <c r="Y27" s="415"/>
      <c r="Z27" s="4"/>
      <c r="AA27" s="397"/>
      <c r="AB27" s="399"/>
      <c r="AC27" s="399"/>
      <c r="AD27" s="4"/>
      <c r="AE27" s="397"/>
      <c r="AF27" s="399"/>
      <c r="AG27" s="399"/>
      <c r="AH27" s="399"/>
      <c r="AI27" s="4"/>
      <c r="AJ27" s="4"/>
      <c r="AK27" s="399"/>
      <c r="AL27" s="399"/>
      <c r="AM27" s="4"/>
      <c r="AO27" s="210" t="s">
        <v>315</v>
      </c>
      <c r="AP27" s="5"/>
      <c r="AQ27" s="299">
        <f>AO8*0.003</f>
        <v>9.09</v>
      </c>
      <c r="AR27" s="211"/>
      <c r="AS27" s="211"/>
      <c r="AT27" s="211"/>
      <c r="AU27" s="211"/>
      <c r="AV27" s="211"/>
      <c r="AW27" s="211"/>
      <c r="AX27" s="211"/>
      <c r="AY27" s="211"/>
      <c r="AZ27" s="211"/>
      <c r="BA27" s="211"/>
    </row>
    <row r="28" spans="1:53" x14ac:dyDescent="0.25">
      <c r="F28" s="216"/>
      <c r="J28" s="216"/>
      <c r="N28" s="216"/>
      <c r="R28" s="216"/>
      <c r="V28" s="80"/>
      <c r="AO28" s="210" t="s">
        <v>316</v>
      </c>
      <c r="AP28" s="5"/>
      <c r="AQ28" s="299">
        <f>'County Retirement'!G21</f>
        <v>370.57764133186294</v>
      </c>
      <c r="AR28" s="211"/>
      <c r="AS28" s="147"/>
      <c r="AT28" s="147"/>
      <c r="AU28" s="147"/>
      <c r="AV28" s="147"/>
      <c r="AW28" s="211"/>
      <c r="AX28" s="211"/>
      <c r="AY28" s="211"/>
      <c r="AZ28" s="211"/>
      <c r="BA28" s="211"/>
    </row>
    <row r="29" spans="1:53" x14ac:dyDescent="0.25">
      <c r="F29" s="216"/>
      <c r="J29" s="216"/>
      <c r="N29" s="216"/>
      <c r="R29" s="216"/>
      <c r="V29" s="80"/>
      <c r="AO29" s="210" t="s">
        <v>317</v>
      </c>
      <c r="AP29" s="5"/>
      <c r="AQ29" s="300" t="s">
        <v>1093</v>
      </c>
      <c r="AR29" s="211"/>
      <c r="AS29" s="211"/>
      <c r="AT29" s="211"/>
      <c r="AU29" s="211"/>
      <c r="AV29" s="211"/>
      <c r="AW29" s="211"/>
      <c r="AX29" s="211"/>
      <c r="AY29" s="211"/>
      <c r="AZ29" s="211"/>
      <c r="BA29" s="211"/>
    </row>
    <row r="30" spans="1:53" x14ac:dyDescent="0.25">
      <c r="F30" s="216"/>
      <c r="J30" s="216"/>
      <c r="N30" s="216"/>
      <c r="R30" s="216"/>
      <c r="V30" s="80"/>
      <c r="AO30" s="235"/>
      <c r="AP30" s="237"/>
      <c r="AQ30" s="301">
        <f>SUM(AQ25:AQ29)</f>
        <v>426.32964133186294</v>
      </c>
      <c r="AR30" s="211"/>
      <c r="AS30" s="114"/>
      <c r="AT30" s="114"/>
      <c r="AU30" s="114"/>
      <c r="AV30" s="114"/>
      <c r="AW30" s="211"/>
      <c r="AX30" s="211"/>
      <c r="AY30" s="211"/>
      <c r="AZ30" s="211"/>
      <c r="BA30" s="211"/>
    </row>
    <row r="31" spans="1:53" x14ac:dyDescent="0.25">
      <c r="F31" s="216"/>
      <c r="J31" s="216"/>
      <c r="N31" s="216"/>
      <c r="R31" s="216"/>
      <c r="V31" s="80"/>
      <c r="AO31" s="212"/>
      <c r="AP31" s="212"/>
      <c r="AQ31" s="211"/>
      <c r="AR31" s="211"/>
      <c r="AS31" s="211"/>
      <c r="AT31" s="211"/>
      <c r="AU31" s="211"/>
      <c r="AV31" s="211"/>
      <c r="AW31" s="211"/>
      <c r="AX31" s="211"/>
      <c r="AY31" s="211"/>
      <c r="AZ31" s="211"/>
      <c r="BA31" s="211"/>
    </row>
    <row r="32" spans="1:53" x14ac:dyDescent="0.25">
      <c r="F32" s="216"/>
      <c r="J32" s="216"/>
      <c r="N32" s="216"/>
      <c r="R32" s="216"/>
      <c r="V32" s="80"/>
      <c r="AO32" s="212"/>
      <c r="AP32" s="212"/>
      <c r="AQ32" s="211"/>
      <c r="AR32" s="211"/>
      <c r="AS32" s="211"/>
      <c r="AT32" s="211"/>
      <c r="AU32" s="211"/>
      <c r="AV32" s="211"/>
      <c r="AW32" s="211"/>
      <c r="AX32" s="211"/>
      <c r="AY32" s="211"/>
      <c r="AZ32" s="211"/>
      <c r="BA32" s="211"/>
    </row>
    <row r="33" spans="4:53" x14ac:dyDescent="0.25">
      <c r="D33" s="120"/>
      <c r="F33" s="216"/>
      <c r="H33" s="120"/>
      <c r="J33" s="216"/>
      <c r="L33" s="120"/>
      <c r="N33" s="216"/>
      <c r="P33" s="120"/>
      <c r="R33" s="216"/>
      <c r="T33" s="120"/>
      <c r="V33" s="80"/>
      <c r="X33" s="120"/>
      <c r="AB33" s="120"/>
      <c r="AF33" s="120"/>
      <c r="AG33" s="120"/>
      <c r="AK33" s="403"/>
      <c r="AO33" s="212"/>
      <c r="AP33" s="212"/>
      <c r="AQ33" s="211"/>
      <c r="AR33" s="211"/>
      <c r="AS33" s="211"/>
      <c r="AT33" s="211"/>
      <c r="AU33" s="211"/>
      <c r="AV33" s="211"/>
      <c r="AW33" s="211"/>
      <c r="AX33" s="211"/>
      <c r="AY33" s="211"/>
      <c r="AZ33" s="211"/>
      <c r="BA33" s="211"/>
    </row>
    <row r="34" spans="4:53" x14ac:dyDescent="0.25">
      <c r="D34" s="120"/>
      <c r="F34" s="216"/>
      <c r="H34" s="120"/>
      <c r="J34" s="216"/>
      <c r="L34" s="120"/>
      <c r="N34" s="216"/>
      <c r="P34" s="120"/>
      <c r="R34" s="216"/>
      <c r="T34" s="120"/>
      <c r="V34" s="80"/>
      <c r="X34" s="120"/>
      <c r="AB34" s="120"/>
      <c r="AF34" s="120"/>
      <c r="AG34" s="120"/>
      <c r="AK34" s="403"/>
      <c r="AO34" s="131"/>
      <c r="AP34" s="131"/>
      <c r="AQ34" s="211"/>
      <c r="AR34" s="211"/>
      <c r="AS34" s="211"/>
      <c r="AT34" s="211"/>
      <c r="AU34" s="211"/>
      <c r="AV34" s="211"/>
      <c r="AW34" s="211"/>
      <c r="AX34" s="211"/>
      <c r="AY34" s="211"/>
      <c r="AZ34" s="211"/>
      <c r="BA34" s="211"/>
    </row>
    <row r="35" spans="4:53" x14ac:dyDescent="0.25">
      <c r="D35" s="120"/>
      <c r="F35" s="216"/>
      <c r="H35" s="120"/>
      <c r="J35" s="216"/>
      <c r="L35" s="120"/>
      <c r="N35" s="216"/>
      <c r="P35" s="120"/>
      <c r="R35" s="216"/>
      <c r="T35" s="120"/>
      <c r="V35" s="80"/>
      <c r="X35" s="120"/>
      <c r="AB35" s="120"/>
      <c r="AF35" s="120"/>
      <c r="AG35" s="120"/>
      <c r="AK35" s="403"/>
      <c r="AO35" s="131"/>
      <c r="AP35" s="131"/>
      <c r="AQ35" s="211"/>
      <c r="AR35" s="211"/>
      <c r="AS35" s="211"/>
      <c r="AT35" s="211"/>
      <c r="AU35" s="211"/>
      <c r="AV35" s="211"/>
      <c r="AW35" s="211"/>
      <c r="AX35" s="211"/>
      <c r="AY35" s="211"/>
      <c r="AZ35" s="211"/>
      <c r="BA35" s="211"/>
    </row>
    <row r="36" spans="4:53" x14ac:dyDescent="0.25">
      <c r="D36" s="120"/>
      <c r="F36" s="216"/>
      <c r="H36" s="120"/>
      <c r="J36" s="216"/>
      <c r="L36" s="120"/>
      <c r="N36" s="216"/>
      <c r="P36" s="120"/>
      <c r="R36" s="216"/>
      <c r="T36" s="120"/>
      <c r="V36" s="80"/>
      <c r="X36" s="120"/>
      <c r="AB36" s="120"/>
      <c r="AF36" s="120"/>
      <c r="AG36" s="120"/>
      <c r="AK36" s="403"/>
      <c r="AO36" s="212"/>
      <c r="AP36" s="212"/>
      <c r="AQ36" s="211"/>
      <c r="AR36" s="211"/>
      <c r="AS36" s="211"/>
      <c r="AT36" s="211"/>
      <c r="AU36" s="211"/>
      <c r="AV36" s="211"/>
      <c r="AW36" s="211"/>
      <c r="AX36" s="211"/>
      <c r="AY36" s="211"/>
      <c r="AZ36" s="211"/>
      <c r="BA36" s="211"/>
    </row>
    <row r="37" spans="4:53" x14ac:dyDescent="0.25">
      <c r="D37" s="120"/>
      <c r="F37" s="216"/>
      <c r="H37" s="120"/>
      <c r="J37" s="216"/>
      <c r="L37" s="120"/>
      <c r="N37" s="216"/>
      <c r="P37" s="120"/>
      <c r="R37" s="216"/>
      <c r="T37" s="120"/>
      <c r="V37" s="80"/>
      <c r="X37" s="120"/>
      <c r="AB37" s="120"/>
      <c r="AF37" s="120"/>
      <c r="AG37" s="120"/>
      <c r="AK37" s="403"/>
      <c r="AO37" s="131"/>
      <c r="AP37" s="211"/>
      <c r="AQ37" s="211"/>
      <c r="AR37" s="211"/>
      <c r="AS37" s="211"/>
      <c r="AT37" s="211"/>
      <c r="AU37" s="211"/>
      <c r="AV37" s="211"/>
      <c r="AW37" s="211"/>
      <c r="AX37" s="211"/>
      <c r="AY37" s="211"/>
      <c r="AZ37" s="211"/>
      <c r="BA37" s="211"/>
    </row>
    <row r="38" spans="4:53" x14ac:dyDescent="0.25">
      <c r="D38" s="120"/>
      <c r="F38" s="216"/>
      <c r="H38" s="120"/>
      <c r="J38" s="216"/>
      <c r="L38" s="120"/>
      <c r="N38" s="216"/>
      <c r="P38" s="120"/>
      <c r="R38" s="216"/>
      <c r="T38" s="120"/>
      <c r="V38" s="80"/>
      <c r="X38" s="120"/>
      <c r="AB38" s="120"/>
      <c r="AF38" s="120"/>
      <c r="AG38" s="120"/>
      <c r="AK38" s="403"/>
      <c r="AO38" s="131"/>
      <c r="AP38" s="211"/>
      <c r="AQ38" s="211"/>
      <c r="AR38" s="211"/>
      <c r="AS38" s="211"/>
      <c r="AT38" s="211"/>
      <c r="AU38" s="211"/>
      <c r="AV38" s="211"/>
      <c r="AW38" s="211"/>
      <c r="AX38" s="211"/>
      <c r="AY38" s="211"/>
      <c r="AZ38" s="211"/>
      <c r="BA38" s="211"/>
    </row>
    <row r="39" spans="4:53" x14ac:dyDescent="0.25">
      <c r="D39" s="120"/>
      <c r="F39" s="216"/>
      <c r="H39" s="120"/>
      <c r="J39" s="216"/>
      <c r="L39" s="120"/>
      <c r="N39" s="216"/>
      <c r="P39" s="120"/>
      <c r="R39" s="216"/>
      <c r="T39" s="120"/>
      <c r="V39" s="80"/>
      <c r="X39" s="120"/>
      <c r="AB39" s="120"/>
      <c r="AF39" s="120"/>
      <c r="AG39" s="120"/>
      <c r="AK39" s="403"/>
      <c r="AO39" s="131"/>
      <c r="AP39" s="211"/>
      <c r="AQ39" s="211"/>
      <c r="AR39" s="211"/>
      <c r="AS39" s="211"/>
      <c r="AT39" s="211"/>
      <c r="AU39" s="211"/>
      <c r="AV39" s="211"/>
      <c r="AW39" s="211"/>
      <c r="AX39" s="211"/>
      <c r="AY39" s="211"/>
      <c r="AZ39" s="211"/>
      <c r="BA39" s="211"/>
    </row>
    <row r="40" spans="4:53" x14ac:dyDescent="0.25">
      <c r="D40" s="120"/>
      <c r="F40" s="216"/>
      <c r="H40" s="120"/>
      <c r="J40" s="216"/>
      <c r="L40" s="120"/>
      <c r="N40" s="216"/>
      <c r="P40" s="120"/>
      <c r="R40" s="216"/>
      <c r="T40" s="120"/>
      <c r="V40" s="80"/>
      <c r="X40" s="120"/>
      <c r="AB40" s="120"/>
      <c r="AF40" s="120"/>
      <c r="AG40" s="120"/>
      <c r="AK40" s="403"/>
      <c r="AO40" s="212"/>
      <c r="AP40" s="212"/>
      <c r="AQ40" s="211"/>
      <c r="AR40" s="211"/>
      <c r="AS40" s="211"/>
      <c r="AT40" s="211"/>
      <c r="AU40" s="211"/>
      <c r="AV40" s="211"/>
      <c r="AW40" s="211"/>
      <c r="AX40" s="211"/>
      <c r="AY40" s="211"/>
      <c r="AZ40" s="211"/>
      <c r="BA40" s="211"/>
    </row>
    <row r="41" spans="4:53" x14ac:dyDescent="0.25">
      <c r="D41" s="120"/>
      <c r="F41" s="216"/>
      <c r="H41" s="120"/>
      <c r="J41" s="216"/>
      <c r="L41" s="120"/>
      <c r="N41" s="216"/>
      <c r="P41" s="120"/>
      <c r="R41" s="216"/>
      <c r="T41" s="120"/>
      <c r="V41" s="80"/>
      <c r="X41" s="120"/>
      <c r="AB41" s="120"/>
      <c r="AF41" s="120"/>
      <c r="AG41" s="120"/>
      <c r="AK41" s="403"/>
      <c r="AO41" s="212"/>
      <c r="AP41" s="212"/>
      <c r="AQ41" s="211"/>
      <c r="AR41" s="211"/>
      <c r="AS41" s="211"/>
      <c r="AT41" s="211"/>
      <c r="AU41" s="211"/>
      <c r="AV41" s="211"/>
      <c r="AW41" s="211"/>
      <c r="AX41" s="211"/>
      <c r="AY41" s="211"/>
      <c r="AZ41" s="211"/>
      <c r="BA41" s="211"/>
    </row>
    <row r="42" spans="4:53" x14ac:dyDescent="0.25">
      <c r="D42" s="120"/>
      <c r="F42" s="216"/>
      <c r="H42" s="120"/>
      <c r="J42" s="216"/>
      <c r="L42" s="120"/>
      <c r="N42" s="216"/>
      <c r="P42" s="120"/>
      <c r="R42" s="216"/>
      <c r="T42" s="120"/>
      <c r="V42" s="80"/>
      <c r="X42" s="120"/>
      <c r="AB42" s="120"/>
      <c r="AF42" s="120"/>
      <c r="AG42" s="120"/>
      <c r="AK42" s="403"/>
      <c r="AO42" s="212"/>
      <c r="AP42" s="212"/>
      <c r="AQ42" s="211"/>
      <c r="AR42" s="211"/>
      <c r="AS42" s="211"/>
      <c r="AT42" s="211"/>
      <c r="AU42" s="211"/>
      <c r="AV42" s="211"/>
      <c r="AW42" s="211"/>
      <c r="AX42" s="211"/>
      <c r="AY42" s="211"/>
      <c r="AZ42" s="211"/>
      <c r="BA42" s="211"/>
    </row>
    <row r="43" spans="4:53" x14ac:dyDescent="0.25">
      <c r="D43" s="120"/>
      <c r="F43" s="216"/>
      <c r="H43" s="120"/>
      <c r="J43" s="216"/>
      <c r="L43" s="120"/>
      <c r="N43" s="216"/>
      <c r="P43" s="120"/>
      <c r="R43" s="216"/>
      <c r="T43" s="120"/>
      <c r="V43" s="80"/>
      <c r="X43" s="120"/>
      <c r="AB43" s="120"/>
      <c r="AF43" s="120"/>
      <c r="AG43" s="120"/>
      <c r="AK43" s="403"/>
      <c r="AO43" s="212"/>
      <c r="AP43" s="212"/>
      <c r="AQ43" s="211"/>
      <c r="AR43" s="211"/>
      <c r="AS43" s="211"/>
      <c r="AT43" s="211"/>
      <c r="AU43" s="211"/>
      <c r="AV43" s="211"/>
      <c r="AW43" s="211"/>
      <c r="AX43" s="211"/>
      <c r="AY43" s="211"/>
      <c r="AZ43" s="211"/>
      <c r="BA43" s="211"/>
    </row>
    <row r="44" spans="4:53" x14ac:dyDescent="0.25">
      <c r="D44" s="120"/>
      <c r="H44" s="120"/>
      <c r="L44" s="120"/>
      <c r="P44" s="120"/>
      <c r="T44" s="120"/>
      <c r="X44" s="120"/>
      <c r="AB44" s="120"/>
      <c r="AF44" s="120"/>
      <c r="AG44" s="120"/>
      <c r="AK44" s="403"/>
      <c r="AO44" s="212"/>
      <c r="AP44" s="212"/>
      <c r="AQ44" s="211"/>
      <c r="AR44" s="211"/>
      <c r="AS44" s="211"/>
      <c r="AT44" s="211"/>
      <c r="AU44" s="211"/>
      <c r="AV44" s="211"/>
      <c r="AW44" s="211"/>
      <c r="AX44" s="211"/>
      <c r="AY44" s="211"/>
      <c r="AZ44" s="211"/>
      <c r="BA44" s="211"/>
    </row>
    <row r="45" spans="4:53" x14ac:dyDescent="0.25">
      <c r="D45" s="120"/>
      <c r="H45" s="120"/>
      <c r="L45" s="120"/>
      <c r="P45" s="120"/>
      <c r="T45" s="120"/>
      <c r="X45" s="120"/>
      <c r="AB45" s="120"/>
      <c r="AF45" s="120"/>
      <c r="AG45" s="120"/>
      <c r="AK45" s="403"/>
      <c r="AO45" s="212"/>
      <c r="AP45" s="212"/>
      <c r="AQ45" s="211"/>
      <c r="AR45" s="211"/>
      <c r="AS45" s="211"/>
      <c r="AT45" s="211"/>
      <c r="AU45" s="211"/>
      <c r="AV45" s="211"/>
      <c r="AW45" s="211"/>
      <c r="AX45" s="211"/>
      <c r="AY45" s="211"/>
      <c r="AZ45" s="211"/>
      <c r="BA45" s="211"/>
    </row>
    <row r="46" spans="4:53" x14ac:dyDescent="0.25">
      <c r="D46" s="120"/>
      <c r="H46" s="120"/>
      <c r="L46" s="120"/>
      <c r="P46" s="120"/>
      <c r="T46" s="120"/>
      <c r="X46" s="120"/>
      <c r="AB46" s="120"/>
      <c r="AF46" s="120"/>
      <c r="AG46" s="120"/>
      <c r="AK46" s="403"/>
      <c r="AO46" s="212"/>
      <c r="AP46" s="212"/>
      <c r="AQ46" s="211"/>
      <c r="AR46" s="211"/>
      <c r="AS46" s="211"/>
      <c r="AT46" s="211"/>
      <c r="AU46" s="211"/>
      <c r="AV46" s="211"/>
      <c r="AW46" s="211"/>
      <c r="AX46" s="211"/>
      <c r="AY46" s="211"/>
      <c r="AZ46" s="211"/>
      <c r="BA46" s="211"/>
    </row>
    <row r="47" spans="4:53" x14ac:dyDescent="0.25">
      <c r="D47" s="120"/>
      <c r="H47" s="120"/>
      <c r="L47" s="120"/>
      <c r="P47" s="120"/>
      <c r="T47" s="120"/>
      <c r="X47" s="120"/>
      <c r="AB47" s="120"/>
      <c r="AF47" s="120"/>
      <c r="AG47" s="120"/>
      <c r="AK47" s="403"/>
      <c r="AO47" s="212"/>
      <c r="AP47" s="212"/>
      <c r="AQ47" s="211"/>
      <c r="AR47" s="211"/>
      <c r="AS47" s="211"/>
      <c r="AT47" s="211"/>
      <c r="AU47" s="211"/>
      <c r="AV47" s="211"/>
      <c r="AW47" s="211"/>
      <c r="AX47" s="211"/>
      <c r="AY47" s="211"/>
      <c r="AZ47" s="211"/>
      <c r="BA47" s="211"/>
    </row>
    <row r="48" spans="4:53"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7" orientation="landscape" r:id="rId1"/>
  <headerFooter alignWithMargins="0">
    <oddHeader>&amp;C&amp;"-,Bold"Proposed Budget &amp; Analysis Report for FY20</oddHeader>
    <oddFooter>&amp;C&amp;D&amp;T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3:BA377"/>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3.42578125" style="161" customWidth="1"/>
    <col min="4" max="4" width="11.85546875" style="211" hidden="1" customWidth="1"/>
    <col min="5" max="5" width="11.42578125" style="211" hidden="1" customWidth="1"/>
    <col min="6" max="6" width="7.7109375" style="211" hidden="1" customWidth="1"/>
    <col min="7" max="7" width="2.42578125" style="211" hidden="1" customWidth="1"/>
    <col min="8" max="8" width="11.85546875" style="211" hidden="1" customWidth="1"/>
    <col min="9" max="9" width="11.42578125" style="211" hidden="1" customWidth="1"/>
    <col min="10" max="10" width="7.7109375" style="211" hidden="1" customWidth="1"/>
    <col min="11" max="11" width="2.42578125" style="211" hidden="1" customWidth="1"/>
    <col min="12" max="12" width="11.85546875" style="211" hidden="1" customWidth="1"/>
    <col min="13" max="13" width="11.42578125" style="211" hidden="1" customWidth="1"/>
    <col min="14" max="14" width="7.7109375" style="211" hidden="1" customWidth="1"/>
    <col min="15" max="15" width="2.42578125" style="211" hidden="1" customWidth="1"/>
    <col min="16" max="16" width="11.85546875" style="211" hidden="1" customWidth="1"/>
    <col min="17" max="17" width="11.42578125" style="211" hidden="1" customWidth="1"/>
    <col min="18" max="18" width="7.7109375" style="211" hidden="1" customWidth="1"/>
    <col min="19" max="19" width="2.42578125" style="211" hidden="1" customWidth="1"/>
    <col min="20" max="20" width="11.85546875" style="161" hidden="1" customWidth="1"/>
    <col min="21" max="21" width="11.42578125" style="161" hidden="1" customWidth="1"/>
    <col min="22" max="22" width="7.7109375" style="161" hidden="1" customWidth="1"/>
    <col min="23" max="23" width="2.42578125" style="161" hidden="1" customWidth="1"/>
    <col min="24" max="25" width="11.5703125" style="161" hidden="1" customWidth="1"/>
    <col min="26" max="26" width="9.28515625" style="161" hidden="1" customWidth="1"/>
    <col min="27" max="27" width="2.42578125" style="161" hidden="1" customWidth="1"/>
    <col min="28" max="29" width="11.5703125" style="161" customWidth="1"/>
    <col min="30" max="30" width="9.28515625" style="161" bestFit="1" customWidth="1"/>
    <col min="31" max="31" width="2.42578125" style="211"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2.42578125" style="394" customWidth="1"/>
    <col min="41" max="41" width="12.140625" style="104" customWidth="1"/>
    <col min="42" max="42" width="11.28515625" style="104" bestFit="1" customWidth="1"/>
    <col min="43" max="43" width="10.5703125" style="161" bestFit="1" customWidth="1"/>
    <col min="44" max="44" width="28" style="161" customWidth="1"/>
    <col min="45" max="16384" width="9.140625" style="161"/>
  </cols>
  <sheetData>
    <row r="3" spans="1:4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9"/>
      <c r="AO3" s="805" t="s">
        <v>1593</v>
      </c>
      <c r="AP3" s="805"/>
      <c r="AQ3" s="805"/>
      <c r="AR3" s="805"/>
    </row>
    <row r="4" spans="1:44" ht="27" x14ac:dyDescent="0.25">
      <c r="A4" s="271"/>
      <c r="B4" s="271"/>
      <c r="C4" s="308" t="s">
        <v>1980</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A5" s="394" t="s">
        <v>272</v>
      </c>
      <c r="C5" s="111" t="s">
        <v>276</v>
      </c>
      <c r="AO5" s="103"/>
      <c r="AP5" s="103"/>
      <c r="AR5" s="111"/>
    </row>
    <row r="6" spans="1:44" x14ac:dyDescent="0.25">
      <c r="A6" s="161" t="s">
        <v>629</v>
      </c>
      <c r="B6" s="214" t="str">
        <f>MID(A6,14,4)</f>
        <v>5128</v>
      </c>
      <c r="C6" s="161" t="s">
        <v>1105</v>
      </c>
      <c r="D6" s="245">
        <v>12256</v>
      </c>
      <c r="E6" s="245">
        <v>11838.84</v>
      </c>
      <c r="F6" s="216"/>
      <c r="G6" s="213"/>
      <c r="H6" s="245">
        <v>12576</v>
      </c>
      <c r="I6" s="245">
        <v>12993.16</v>
      </c>
      <c r="J6" s="216"/>
      <c r="K6" s="213"/>
      <c r="L6" s="245">
        <v>12954.35</v>
      </c>
      <c r="M6" s="245">
        <v>12954.36</v>
      </c>
      <c r="N6" s="216"/>
      <c r="O6" s="213"/>
      <c r="P6" s="245">
        <v>13264.75</v>
      </c>
      <c r="Q6" s="245">
        <v>13264.8</v>
      </c>
      <c r="R6" s="216"/>
      <c r="S6" s="213"/>
      <c r="T6" s="162">
        <v>13463.6</v>
      </c>
      <c r="U6" s="162">
        <v>13463.63</v>
      </c>
      <c r="V6" s="80"/>
      <c r="W6" s="103"/>
      <c r="X6" s="162">
        <v>14060</v>
      </c>
      <c r="Y6" s="162">
        <v>14060.04</v>
      </c>
      <c r="Z6" s="80">
        <v>4.4297216197747971E-2</v>
      </c>
      <c r="AA6" s="103"/>
      <c r="AB6" s="162">
        <v>14200</v>
      </c>
      <c r="AC6" s="162">
        <v>14199.96</v>
      </c>
      <c r="AD6" s="80">
        <f>(AB6-X6)/X6</f>
        <v>9.9573257467994308E-3</v>
      </c>
      <c r="AE6" s="213"/>
      <c r="AF6" s="163">
        <v>14345</v>
      </c>
      <c r="AG6" s="380">
        <v>14355</v>
      </c>
      <c r="AH6" s="245">
        <v>14355</v>
      </c>
      <c r="AI6" s="216">
        <f>(AG6-AB6)/AB6</f>
        <v>1.0915492957746478E-2</v>
      </c>
      <c r="AJ6" s="80"/>
      <c r="AK6" s="398">
        <v>14630</v>
      </c>
      <c r="AL6" s="398">
        <v>7315.02</v>
      </c>
      <c r="AM6" s="396">
        <f>(AK6-AG6)/AG6</f>
        <v>1.9157088122605363E-2</v>
      </c>
      <c r="AN6" s="397"/>
      <c r="AO6" s="163">
        <f>'FY20 Payroll Schedule'!J82</f>
        <v>14950</v>
      </c>
      <c r="AP6" s="398">
        <f>AO6-AK6</f>
        <v>320</v>
      </c>
      <c r="AQ6" s="396">
        <f>AP6/AK6</f>
        <v>2.1872863978127138E-2</v>
      </c>
      <c r="AR6" s="288" t="s">
        <v>1183</v>
      </c>
    </row>
    <row r="7" spans="1:44" s="394" customFormat="1" x14ac:dyDescent="0.25">
      <c r="A7" s="395" t="s">
        <v>2081</v>
      </c>
      <c r="B7" s="205" t="str">
        <f>MID(A7,14,4)</f>
        <v>5142</v>
      </c>
      <c r="C7" s="394" t="s">
        <v>1455</v>
      </c>
      <c r="D7" s="398"/>
      <c r="E7" s="398"/>
      <c r="F7" s="396"/>
      <c r="G7" s="397"/>
      <c r="H7" s="398"/>
      <c r="I7" s="398"/>
      <c r="J7" s="396"/>
      <c r="K7" s="397"/>
      <c r="L7" s="398"/>
      <c r="M7" s="398"/>
      <c r="N7" s="396"/>
      <c r="O7" s="397"/>
      <c r="P7" s="398"/>
      <c r="Q7" s="398"/>
      <c r="R7" s="396"/>
      <c r="S7" s="397"/>
      <c r="T7" s="398"/>
      <c r="U7" s="398"/>
      <c r="V7" s="396"/>
      <c r="W7" s="397"/>
      <c r="X7" s="398"/>
      <c r="Y7" s="398"/>
      <c r="Z7" s="396"/>
      <c r="AA7" s="397"/>
      <c r="AB7" s="398"/>
      <c r="AC7" s="398"/>
      <c r="AD7" s="396"/>
      <c r="AE7" s="397"/>
      <c r="AF7" s="163"/>
      <c r="AG7" s="380"/>
      <c r="AH7" s="398"/>
      <c r="AI7" s="396"/>
      <c r="AJ7" s="396"/>
      <c r="AK7" s="398">
        <v>0</v>
      </c>
      <c r="AL7" s="398">
        <v>146.30000000000001</v>
      </c>
      <c r="AM7" s="396"/>
      <c r="AN7" s="397"/>
      <c r="AO7" s="163">
        <f>'FY20 Payroll Schedule'!K82</f>
        <v>149.5</v>
      </c>
      <c r="AP7" s="567">
        <f>AO7-AK7</f>
        <v>149.5</v>
      </c>
      <c r="AQ7" s="396"/>
      <c r="AR7" s="400"/>
    </row>
    <row r="8" spans="1:44" x14ac:dyDescent="0.25">
      <c r="A8" s="161" t="s">
        <v>630</v>
      </c>
      <c r="B8" s="214" t="str">
        <f>MID(A8,14,4)</f>
        <v>5178</v>
      </c>
      <c r="C8" s="394" t="s">
        <v>1789</v>
      </c>
      <c r="D8" s="245">
        <v>2000</v>
      </c>
      <c r="E8" s="245">
        <v>2000</v>
      </c>
      <c r="F8" s="216"/>
      <c r="G8" s="213"/>
      <c r="H8" s="245">
        <v>2000</v>
      </c>
      <c r="I8" s="245">
        <v>2000</v>
      </c>
      <c r="J8" s="216"/>
      <c r="K8" s="213"/>
      <c r="L8" s="245">
        <v>2000</v>
      </c>
      <c r="M8" s="245">
        <v>2000</v>
      </c>
      <c r="N8" s="216"/>
      <c r="O8" s="213"/>
      <c r="P8" s="245">
        <v>2000</v>
      </c>
      <c r="Q8" s="245">
        <v>2000</v>
      </c>
      <c r="R8" s="216"/>
      <c r="S8" s="213"/>
      <c r="T8" s="245">
        <v>2000</v>
      </c>
      <c r="U8" s="245">
        <v>2000</v>
      </c>
      <c r="V8" s="216"/>
      <c r="W8" s="213"/>
      <c r="X8" s="245">
        <v>2000</v>
      </c>
      <c r="Y8" s="245">
        <v>2000</v>
      </c>
      <c r="Z8" s="216">
        <v>0</v>
      </c>
      <c r="AA8" s="213"/>
      <c r="AB8" s="245">
        <v>2000</v>
      </c>
      <c r="AC8" s="245">
        <v>1250</v>
      </c>
      <c r="AD8" s="216">
        <f>(AB8-X8)/X8</f>
        <v>0</v>
      </c>
      <c r="AE8" s="213"/>
      <c r="AF8" s="163">
        <v>2000</v>
      </c>
      <c r="AG8" s="380">
        <v>2000</v>
      </c>
      <c r="AH8" s="245">
        <v>1000</v>
      </c>
      <c r="AI8" s="216">
        <f t="shared" ref="AI8:AI20" si="0">(AG8-AB8)/AB8</f>
        <v>0</v>
      </c>
      <c r="AJ8" s="80"/>
      <c r="AK8" s="398">
        <v>2000</v>
      </c>
      <c r="AL8" s="398">
        <v>500</v>
      </c>
      <c r="AM8" s="396">
        <f>(AK8-AG8)/AG8</f>
        <v>0</v>
      </c>
      <c r="AN8" s="397"/>
      <c r="AO8" s="408">
        <f>'FY20 Payroll Schedule'!J83+'FY20 Payroll Schedule'!J84</f>
        <v>2000</v>
      </c>
      <c r="AP8" s="567">
        <f>AO8-AK8</f>
        <v>0</v>
      </c>
      <c r="AQ8" s="396">
        <f t="shared" ref="AQ8:AQ20" si="1">AP8/AK8</f>
        <v>0</v>
      </c>
      <c r="AR8" s="166" t="s">
        <v>631</v>
      </c>
    </row>
    <row r="9" spans="1:44" s="114" customFormat="1" x14ac:dyDescent="0.25">
      <c r="A9" s="224"/>
      <c r="B9" s="224"/>
      <c r="C9" s="224" t="s">
        <v>26</v>
      </c>
      <c r="D9" s="225">
        <f>SUM(D6:D8)</f>
        <v>14256</v>
      </c>
      <c r="E9" s="225">
        <f>SUM(E6:E8)</f>
        <v>13838.84</v>
      </c>
      <c r="F9" s="226">
        <v>2.5999999999999999E-2</v>
      </c>
      <c r="G9" s="224"/>
      <c r="H9" s="225">
        <f>SUM(H6:H8)</f>
        <v>14576</v>
      </c>
      <c r="I9" s="225">
        <f>SUM(I6:I8)</f>
        <v>14993.16</v>
      </c>
      <c r="J9" s="226">
        <v>2.5999999999999999E-2</v>
      </c>
      <c r="K9" s="224"/>
      <c r="L9" s="225">
        <f>SUM(L6:L8)</f>
        <v>14954.35</v>
      </c>
      <c r="M9" s="225">
        <f>SUM(M6:M8)</f>
        <v>14954.36</v>
      </c>
      <c r="N9" s="226">
        <v>2.5999999999999999E-2</v>
      </c>
      <c r="O9" s="224"/>
      <c r="P9" s="225">
        <f>SUM(P6:P8)</f>
        <v>15264.75</v>
      </c>
      <c r="Q9" s="225">
        <f>SUM(Q6:Q8)</f>
        <v>15264.8</v>
      </c>
      <c r="R9" s="226">
        <v>2.5999999999999999E-2</v>
      </c>
      <c r="S9" s="224"/>
      <c r="T9" s="225">
        <f>SUM(T6:T8)</f>
        <v>15463.6</v>
      </c>
      <c r="U9" s="225">
        <f>SUM(U6:U8)</f>
        <v>15463.63</v>
      </c>
      <c r="V9" s="226">
        <v>2.5999999999999999E-2</v>
      </c>
      <c r="W9" s="224"/>
      <c r="X9" s="225">
        <f>SUM(X6:X8)</f>
        <v>16060</v>
      </c>
      <c r="Y9" s="225">
        <f>SUM(Y6:Y8)</f>
        <v>16060.04</v>
      </c>
      <c r="Z9" s="226">
        <f>(X9-T9)/T9</f>
        <v>3.8567991929434262E-2</v>
      </c>
      <c r="AA9" s="224"/>
      <c r="AB9" s="225">
        <f>SUM(AB6:AB8)</f>
        <v>16200</v>
      </c>
      <c r="AC9" s="225">
        <f>SUM(AC6:AC8)</f>
        <v>15449.96</v>
      </c>
      <c r="AD9" s="226">
        <f>(AB9-X9)/X9</f>
        <v>8.717310087173101E-3</v>
      </c>
      <c r="AE9" s="224"/>
      <c r="AF9" s="227">
        <f>SUM(AF6:AF8)</f>
        <v>16345</v>
      </c>
      <c r="AG9" s="381">
        <f>SUM(AG6:AG8)</f>
        <v>16355</v>
      </c>
      <c r="AH9" s="225">
        <f>SUM(AH6:AH8)</f>
        <v>15355</v>
      </c>
      <c r="AI9" s="226">
        <f t="shared" si="0"/>
        <v>9.5679012345679017E-3</v>
      </c>
      <c r="AJ9" s="226"/>
      <c r="AK9" s="225">
        <f>SUM(AK6:AK8)</f>
        <v>16630</v>
      </c>
      <c r="AL9" s="225">
        <f>SUM(AL6:AL8)</f>
        <v>7961.3200000000006</v>
      </c>
      <c r="AM9" s="226">
        <f>(AK9-AG9)/AG9</f>
        <v>1.6814429837970039E-2</v>
      </c>
      <c r="AN9" s="224"/>
      <c r="AO9" s="227">
        <f>SUM(AO6:AO8)</f>
        <v>17099.5</v>
      </c>
      <c r="AP9" s="227">
        <f>SUM(AP6:AP8)</f>
        <v>469.5</v>
      </c>
      <c r="AQ9" s="226">
        <f t="shared" si="1"/>
        <v>2.8232110643415513E-2</v>
      </c>
      <c r="AR9" s="224"/>
    </row>
    <row r="10" spans="1:44" x14ac:dyDescent="0.25">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P10" s="112"/>
      <c r="AQ10" s="396"/>
    </row>
    <row r="11" spans="1:44" x14ac:dyDescent="0.25">
      <c r="C11" s="111" t="s">
        <v>277</v>
      </c>
      <c r="D11" s="112"/>
      <c r="E11" s="245"/>
      <c r="F11" s="216"/>
      <c r="H11" s="112"/>
      <c r="I11" s="245"/>
      <c r="J11" s="216"/>
      <c r="L11" s="112"/>
      <c r="M11" s="245"/>
      <c r="N11" s="216"/>
      <c r="P11" s="112"/>
      <c r="Q11" s="245"/>
      <c r="R11" s="216"/>
      <c r="T11" s="112"/>
      <c r="U11" s="162"/>
      <c r="V11" s="80"/>
      <c r="X11" s="112"/>
      <c r="Y11" s="162"/>
      <c r="Z11" s="80"/>
      <c r="AB11" s="112"/>
      <c r="AC11" s="162"/>
      <c r="AD11" s="80"/>
      <c r="AF11" s="212"/>
      <c r="AG11" s="212"/>
      <c r="AH11" s="245"/>
      <c r="AI11" s="216"/>
      <c r="AJ11" s="80"/>
      <c r="AK11" s="112"/>
      <c r="AL11" s="398"/>
      <c r="AM11" s="396"/>
      <c r="AP11" s="245"/>
      <c r="AQ11" s="396"/>
      <c r="AR11" s="111"/>
    </row>
    <row r="12" spans="1:44" x14ac:dyDescent="0.25">
      <c r="A12" s="161" t="s">
        <v>632</v>
      </c>
      <c r="B12" s="214" t="str">
        <f t="shared" ref="B12:B17" si="2">MID(A12,14,4)</f>
        <v>5301</v>
      </c>
      <c r="C12" s="161" t="s">
        <v>1790</v>
      </c>
      <c r="D12" s="245">
        <v>250</v>
      </c>
      <c r="E12" s="245">
        <v>410</v>
      </c>
      <c r="F12" s="216"/>
      <c r="G12" s="213"/>
      <c r="H12" s="245">
        <v>250</v>
      </c>
      <c r="I12" s="245">
        <v>709</v>
      </c>
      <c r="J12" s="216"/>
      <c r="K12" s="213"/>
      <c r="L12" s="245">
        <v>250</v>
      </c>
      <c r="M12" s="245">
        <v>0</v>
      </c>
      <c r="N12" s="216"/>
      <c r="O12" s="213"/>
      <c r="P12" s="245">
        <v>250</v>
      </c>
      <c r="Q12" s="245">
        <v>0</v>
      </c>
      <c r="R12" s="216"/>
      <c r="S12" s="213"/>
      <c r="T12" s="245">
        <v>0</v>
      </c>
      <c r="U12" s="245">
        <v>0</v>
      </c>
      <c r="V12" s="216"/>
      <c r="W12" s="213"/>
      <c r="X12" s="245">
        <v>0</v>
      </c>
      <c r="Y12" s="245">
        <v>0</v>
      </c>
      <c r="Z12" s="216"/>
      <c r="AA12" s="213"/>
      <c r="AB12" s="245">
        <v>0</v>
      </c>
      <c r="AC12" s="245">
        <v>230</v>
      </c>
      <c r="AD12" s="216"/>
      <c r="AE12" s="213"/>
      <c r="AF12" s="245"/>
      <c r="AG12" s="245"/>
      <c r="AH12" s="245"/>
      <c r="AI12" s="216"/>
      <c r="AJ12" s="80"/>
      <c r="AK12" s="398">
        <v>0</v>
      </c>
      <c r="AL12" s="398"/>
      <c r="AM12" s="396"/>
      <c r="AN12" s="397"/>
      <c r="AO12" s="163"/>
      <c r="AP12" s="398">
        <f>AO12-AK12</f>
        <v>0</v>
      </c>
      <c r="AQ12" s="396"/>
      <c r="AR12" s="166" t="s">
        <v>925</v>
      </c>
    </row>
    <row r="13" spans="1:44" x14ac:dyDescent="0.25">
      <c r="A13" s="161" t="s">
        <v>633</v>
      </c>
      <c r="B13" s="214" t="str">
        <f t="shared" si="2"/>
        <v>5306</v>
      </c>
      <c r="C13" s="161" t="s">
        <v>1599</v>
      </c>
      <c r="D13" s="245">
        <v>60</v>
      </c>
      <c r="E13" s="245">
        <v>67.2</v>
      </c>
      <c r="F13" s="216"/>
      <c r="G13" s="213"/>
      <c r="H13" s="245">
        <v>60</v>
      </c>
      <c r="I13" s="245">
        <v>50</v>
      </c>
      <c r="J13" s="216"/>
      <c r="K13" s="213"/>
      <c r="L13" s="245">
        <v>60</v>
      </c>
      <c r="M13" s="245">
        <v>50</v>
      </c>
      <c r="N13" s="216"/>
      <c r="O13" s="213"/>
      <c r="P13" s="245">
        <v>60</v>
      </c>
      <c r="Q13" s="245">
        <v>50</v>
      </c>
      <c r="R13" s="216"/>
      <c r="S13" s="213"/>
      <c r="T13" s="245">
        <v>60</v>
      </c>
      <c r="U13" s="245">
        <v>50</v>
      </c>
      <c r="V13" s="216"/>
      <c r="W13" s="213"/>
      <c r="X13" s="245">
        <v>60</v>
      </c>
      <c r="Y13" s="245">
        <v>46</v>
      </c>
      <c r="Z13" s="216">
        <v>0</v>
      </c>
      <c r="AA13" s="213"/>
      <c r="AB13" s="245">
        <v>60</v>
      </c>
      <c r="AC13" s="245">
        <v>47</v>
      </c>
      <c r="AD13" s="216">
        <f>(AB13-X13)/X13</f>
        <v>0</v>
      </c>
      <c r="AE13" s="213"/>
      <c r="AF13" s="245">
        <v>60</v>
      </c>
      <c r="AG13" s="245">
        <v>60</v>
      </c>
      <c r="AH13" s="245">
        <v>48</v>
      </c>
      <c r="AI13" s="216">
        <f t="shared" si="0"/>
        <v>0</v>
      </c>
      <c r="AJ13" s="80"/>
      <c r="AK13" s="398">
        <v>60</v>
      </c>
      <c r="AL13" s="398">
        <v>0</v>
      </c>
      <c r="AM13" s="396">
        <f>(AK13-AG13)/AG13</f>
        <v>0</v>
      </c>
      <c r="AN13" s="397"/>
      <c r="AO13" s="163">
        <v>60</v>
      </c>
      <c r="AP13" s="398">
        <f>AO13-AK13</f>
        <v>0</v>
      </c>
      <c r="AQ13" s="396">
        <f t="shared" si="1"/>
        <v>0</v>
      </c>
      <c r="AR13" s="166"/>
    </row>
    <row r="14" spans="1:44" x14ac:dyDescent="0.25">
      <c r="A14" s="161" t="s">
        <v>634</v>
      </c>
      <c r="B14" s="214" t="str">
        <f t="shared" si="2"/>
        <v>5341</v>
      </c>
      <c r="C14" s="161" t="s">
        <v>1640</v>
      </c>
      <c r="D14" s="245">
        <v>180</v>
      </c>
      <c r="E14" s="245">
        <v>0</v>
      </c>
      <c r="F14" s="216"/>
      <c r="G14" s="213"/>
      <c r="H14" s="245">
        <v>180</v>
      </c>
      <c r="I14" s="245">
        <v>0</v>
      </c>
      <c r="J14" s="216"/>
      <c r="K14" s="213"/>
      <c r="L14" s="245">
        <v>180</v>
      </c>
      <c r="M14" s="245">
        <v>0</v>
      </c>
      <c r="N14" s="216"/>
      <c r="O14" s="213"/>
      <c r="P14" s="245">
        <v>180</v>
      </c>
      <c r="Q14" s="245">
        <v>0</v>
      </c>
      <c r="R14" s="216"/>
      <c r="S14" s="213"/>
      <c r="T14" s="245">
        <v>180</v>
      </c>
      <c r="U14" s="245">
        <v>0</v>
      </c>
      <c r="V14" s="216"/>
      <c r="W14" s="213"/>
      <c r="X14" s="245">
        <v>180</v>
      </c>
      <c r="Y14" s="245">
        <v>0</v>
      </c>
      <c r="Z14" s="216">
        <v>0</v>
      </c>
      <c r="AA14" s="213"/>
      <c r="AB14" s="245">
        <v>180</v>
      </c>
      <c r="AC14" s="245">
        <v>118</v>
      </c>
      <c r="AD14" s="216">
        <f>(AB14-X14)/X14</f>
        <v>0</v>
      </c>
      <c r="AE14" s="213"/>
      <c r="AF14" s="245">
        <v>180</v>
      </c>
      <c r="AG14" s="245">
        <v>180</v>
      </c>
      <c r="AH14" s="245">
        <v>0</v>
      </c>
      <c r="AI14" s="216">
        <f t="shared" si="0"/>
        <v>0</v>
      </c>
      <c r="AJ14" s="80"/>
      <c r="AK14" s="398">
        <v>400</v>
      </c>
      <c r="AL14" s="398">
        <v>425</v>
      </c>
      <c r="AM14" s="396">
        <f>(AK14-AG14)/AG14</f>
        <v>1.2222222222222223</v>
      </c>
      <c r="AN14" s="397"/>
      <c r="AO14" s="163">
        <v>400</v>
      </c>
      <c r="AP14" s="245">
        <f>AO14-AK14</f>
        <v>0</v>
      </c>
      <c r="AQ14" s="396">
        <f t="shared" si="1"/>
        <v>0</v>
      </c>
      <c r="AR14" s="400"/>
    </row>
    <row r="15" spans="1:44" x14ac:dyDescent="0.25">
      <c r="A15" s="161" t="s">
        <v>635</v>
      </c>
      <c r="B15" s="214" t="str">
        <f t="shared" si="2"/>
        <v>5701</v>
      </c>
      <c r="C15" s="161" t="s">
        <v>1791</v>
      </c>
      <c r="D15" s="245">
        <v>250</v>
      </c>
      <c r="E15" s="245">
        <v>0</v>
      </c>
      <c r="F15" s="216"/>
      <c r="G15" s="213"/>
      <c r="H15" s="245">
        <v>250</v>
      </c>
      <c r="I15" s="245">
        <v>0</v>
      </c>
      <c r="J15" s="216"/>
      <c r="K15" s="213"/>
      <c r="L15" s="245">
        <v>250</v>
      </c>
      <c r="M15" s="245">
        <v>72</v>
      </c>
      <c r="N15" s="216"/>
      <c r="O15" s="213"/>
      <c r="P15" s="245">
        <v>250</v>
      </c>
      <c r="Q15" s="245">
        <v>0</v>
      </c>
      <c r="R15" s="216"/>
      <c r="S15" s="213"/>
      <c r="T15" s="245">
        <v>0</v>
      </c>
      <c r="U15" s="245">
        <v>0</v>
      </c>
      <c r="V15" s="216"/>
      <c r="W15" s="213"/>
      <c r="X15" s="245">
        <v>0</v>
      </c>
      <c r="Y15" s="245">
        <v>0</v>
      </c>
      <c r="Z15" s="216"/>
      <c r="AA15" s="213"/>
      <c r="AB15" s="245">
        <v>0</v>
      </c>
      <c r="AC15" s="245">
        <v>20</v>
      </c>
      <c r="AD15" s="216"/>
      <c r="AE15" s="213"/>
      <c r="AF15" s="245"/>
      <c r="AG15" s="245"/>
      <c r="AH15" s="245"/>
      <c r="AI15" s="216"/>
      <c r="AJ15" s="80"/>
      <c r="AK15" s="398">
        <v>0</v>
      </c>
      <c r="AL15" s="398"/>
      <c r="AM15" s="396"/>
      <c r="AN15" s="397"/>
      <c r="AO15" s="163">
        <v>0</v>
      </c>
      <c r="AP15" s="398">
        <f>AO15-AK15</f>
        <v>0</v>
      </c>
      <c r="AQ15" s="396"/>
      <c r="AR15" s="166" t="s">
        <v>925</v>
      </c>
    </row>
    <row r="16" spans="1:44" s="211" customFormat="1" x14ac:dyDescent="0.25">
      <c r="A16" s="211" t="s">
        <v>636</v>
      </c>
      <c r="B16" s="214" t="str">
        <f t="shared" si="2"/>
        <v>5711</v>
      </c>
      <c r="C16" s="211" t="s">
        <v>1606</v>
      </c>
      <c r="D16" s="245">
        <v>1300</v>
      </c>
      <c r="E16" s="245">
        <v>0</v>
      </c>
      <c r="F16" s="216"/>
      <c r="G16" s="213"/>
      <c r="H16" s="245">
        <v>1300</v>
      </c>
      <c r="I16" s="245">
        <v>0</v>
      </c>
      <c r="J16" s="216"/>
      <c r="K16" s="213"/>
      <c r="L16" s="245">
        <v>1300</v>
      </c>
      <c r="M16" s="245">
        <v>0</v>
      </c>
      <c r="N16" s="216"/>
      <c r="O16" s="213"/>
      <c r="P16" s="245">
        <v>1300</v>
      </c>
      <c r="Q16" s="245">
        <v>0</v>
      </c>
      <c r="R16" s="216"/>
      <c r="S16" s="213"/>
      <c r="T16" s="245">
        <v>1300</v>
      </c>
      <c r="U16" s="245">
        <v>0</v>
      </c>
      <c r="V16" s="216"/>
      <c r="W16" s="213"/>
      <c r="X16" s="245">
        <v>700</v>
      </c>
      <c r="Y16" s="245">
        <v>373.54</v>
      </c>
      <c r="Z16" s="216">
        <v>-0.46153846153846156</v>
      </c>
      <c r="AA16" s="213"/>
      <c r="AB16" s="245">
        <v>700</v>
      </c>
      <c r="AC16" s="245">
        <v>0</v>
      </c>
      <c r="AD16" s="216">
        <f>(AB16-X16)/X16</f>
        <v>0</v>
      </c>
      <c r="AE16" s="213"/>
      <c r="AF16" s="245">
        <v>700</v>
      </c>
      <c r="AG16" s="245">
        <v>700</v>
      </c>
      <c r="AH16" s="245">
        <v>0</v>
      </c>
      <c r="AI16" s="216">
        <f t="shared" si="0"/>
        <v>0</v>
      </c>
      <c r="AJ16" s="216"/>
      <c r="AK16" s="398">
        <v>700</v>
      </c>
      <c r="AL16" s="398">
        <v>0</v>
      </c>
      <c r="AM16" s="396">
        <f>(AK16-AG16)/AG16</f>
        <v>0</v>
      </c>
      <c r="AN16" s="397"/>
      <c r="AO16" s="163">
        <v>700</v>
      </c>
      <c r="AP16" s="398">
        <f>AO16-AK16</f>
        <v>0</v>
      </c>
      <c r="AQ16" s="396">
        <f t="shared" si="1"/>
        <v>0</v>
      </c>
      <c r="AR16" s="246"/>
    </row>
    <row r="17" spans="1:53" hidden="1" x14ac:dyDescent="0.25">
      <c r="A17" s="395" t="s">
        <v>1488</v>
      </c>
      <c r="B17" s="214" t="str">
        <f t="shared" si="2"/>
        <v>5870</v>
      </c>
      <c r="C17" s="161" t="s">
        <v>1675</v>
      </c>
      <c r="D17" s="245">
        <v>0</v>
      </c>
      <c r="E17" s="245">
        <v>0</v>
      </c>
      <c r="F17" s="216"/>
      <c r="G17" s="213"/>
      <c r="H17" s="245">
        <v>0</v>
      </c>
      <c r="I17" s="245">
        <v>0</v>
      </c>
      <c r="J17" s="216"/>
      <c r="K17" s="213"/>
      <c r="L17" s="245">
        <v>0</v>
      </c>
      <c r="M17" s="245">
        <v>0</v>
      </c>
      <c r="N17" s="216"/>
      <c r="O17" s="213"/>
      <c r="P17" s="245">
        <v>0</v>
      </c>
      <c r="Q17" s="245">
        <v>0</v>
      </c>
      <c r="R17" s="216"/>
      <c r="S17" s="213"/>
      <c r="T17" s="245">
        <v>0</v>
      </c>
      <c r="U17" s="245">
        <v>60</v>
      </c>
      <c r="V17" s="216"/>
      <c r="W17" s="213"/>
      <c r="X17" s="245">
        <v>0</v>
      </c>
      <c r="Y17" s="245">
        <v>425</v>
      </c>
      <c r="Z17" s="216"/>
      <c r="AA17" s="213"/>
      <c r="AB17" s="245">
        <v>0</v>
      </c>
      <c r="AC17" s="245">
        <v>0</v>
      </c>
      <c r="AD17" s="216"/>
      <c r="AE17" s="213"/>
      <c r="AF17" s="245"/>
      <c r="AG17" s="245">
        <v>0</v>
      </c>
      <c r="AH17" s="245"/>
      <c r="AI17" s="216"/>
      <c r="AJ17" s="80"/>
      <c r="AK17" s="398">
        <v>0</v>
      </c>
      <c r="AL17" s="398">
        <v>0</v>
      </c>
      <c r="AM17" s="396"/>
      <c r="AN17" s="397"/>
      <c r="AO17" s="163"/>
      <c r="AP17" s="245">
        <f>AO17-AG17</f>
        <v>0</v>
      </c>
      <c r="AQ17" s="396"/>
      <c r="AR17" s="166"/>
    </row>
    <row r="18" spans="1:53" s="114" customFormat="1" x14ac:dyDescent="0.25">
      <c r="A18" s="219"/>
      <c r="B18" s="219"/>
      <c r="C18" s="219" t="s">
        <v>279</v>
      </c>
      <c r="D18" s="220">
        <f>SUM(D12:D17)</f>
        <v>2040</v>
      </c>
      <c r="E18" s="220">
        <f>SUM(E12:E17)</f>
        <v>477.2</v>
      </c>
      <c r="F18" s="221">
        <v>0</v>
      </c>
      <c r="G18" s="219"/>
      <c r="H18" s="220">
        <f>SUM(H12:H17)</f>
        <v>2040</v>
      </c>
      <c r="I18" s="220">
        <f>SUM(I12:I17)</f>
        <v>759</v>
      </c>
      <c r="J18" s="221">
        <v>0</v>
      </c>
      <c r="K18" s="219"/>
      <c r="L18" s="220">
        <f>SUM(L12:L17)</f>
        <v>2040</v>
      </c>
      <c r="M18" s="220">
        <f>SUM(M12:M17)</f>
        <v>122</v>
      </c>
      <c r="N18" s="221">
        <v>0</v>
      </c>
      <c r="O18" s="219"/>
      <c r="P18" s="220">
        <f>SUM(P12:P17)</f>
        <v>2040</v>
      </c>
      <c r="Q18" s="220">
        <f>SUM(Q12:Q17)</f>
        <v>50</v>
      </c>
      <c r="R18" s="221">
        <v>0</v>
      </c>
      <c r="S18" s="219"/>
      <c r="T18" s="220">
        <f>SUM(T12:T17)</f>
        <v>1540</v>
      </c>
      <c r="U18" s="220">
        <f>SUM(U12:U17)</f>
        <v>110</v>
      </c>
      <c r="V18" s="221">
        <v>0</v>
      </c>
      <c r="W18" s="219"/>
      <c r="X18" s="220">
        <f>SUM(X12:X17)</f>
        <v>940</v>
      </c>
      <c r="Y18" s="220">
        <f>SUM(Y12:Y17)</f>
        <v>844.54</v>
      </c>
      <c r="Z18" s="222">
        <f>(X18-T18)/T18</f>
        <v>-0.38961038961038963</v>
      </c>
      <c r="AA18" s="219"/>
      <c r="AB18" s="220">
        <f>SUM(AB12:AB17)</f>
        <v>940</v>
      </c>
      <c r="AC18" s="220">
        <f>SUM(AC12:AC17)</f>
        <v>415</v>
      </c>
      <c r="AD18" s="221">
        <f>(AB18-X18)/X18</f>
        <v>0</v>
      </c>
      <c r="AE18" s="219"/>
      <c r="AF18" s="220">
        <f>SUM(AF12:AF17)</f>
        <v>940</v>
      </c>
      <c r="AG18" s="220">
        <f>SUM(AG12:AG17)</f>
        <v>940</v>
      </c>
      <c r="AH18" s="220">
        <f>SUM(AH12:AH17)</f>
        <v>48</v>
      </c>
      <c r="AI18" s="221">
        <f t="shared" si="0"/>
        <v>0</v>
      </c>
      <c r="AJ18" s="221"/>
      <c r="AK18" s="401">
        <f>SUM(AK12:AK17)</f>
        <v>1160</v>
      </c>
      <c r="AL18" s="401">
        <f>SUM(AL12:AL17)</f>
        <v>425</v>
      </c>
      <c r="AM18" s="221">
        <f>(AK18-AG18)/AG18</f>
        <v>0.23404255319148937</v>
      </c>
      <c r="AN18" s="219"/>
      <c r="AO18" s="223">
        <f>SUM(AO12:AO17)</f>
        <v>1160</v>
      </c>
      <c r="AP18" s="220">
        <f>SUM(AP12:AP17)</f>
        <v>0</v>
      </c>
      <c r="AQ18" s="221">
        <f t="shared" si="1"/>
        <v>0</v>
      </c>
      <c r="AR18" s="219"/>
    </row>
    <row r="19" spans="1:53" s="211" customFormat="1" x14ac:dyDescent="0.25">
      <c r="D19" s="112"/>
      <c r="E19" s="112"/>
      <c r="F19" s="216"/>
      <c r="G19" s="213"/>
      <c r="H19" s="112"/>
      <c r="I19" s="112"/>
      <c r="J19" s="216"/>
      <c r="K19" s="213"/>
      <c r="L19" s="112"/>
      <c r="M19" s="112"/>
      <c r="N19" s="216"/>
      <c r="O19" s="213"/>
      <c r="P19" s="112"/>
      <c r="Q19" s="112"/>
      <c r="R19" s="216"/>
      <c r="S19" s="213"/>
      <c r="T19" s="112"/>
      <c r="U19" s="112"/>
      <c r="V19" s="216"/>
      <c r="W19" s="213"/>
      <c r="X19" s="112"/>
      <c r="Y19" s="112"/>
      <c r="Z19" s="216"/>
      <c r="AA19" s="213"/>
      <c r="AB19" s="112"/>
      <c r="AC19" s="112"/>
      <c r="AD19" s="216"/>
      <c r="AE19" s="213"/>
      <c r="AF19" s="112"/>
      <c r="AG19" s="112"/>
      <c r="AH19" s="112"/>
      <c r="AI19" s="216"/>
      <c r="AJ19" s="216"/>
      <c r="AK19" s="112"/>
      <c r="AL19" s="112"/>
      <c r="AM19" s="396"/>
      <c r="AN19" s="397"/>
      <c r="AO19" s="212"/>
      <c r="AP19" s="112"/>
      <c r="AQ19" s="396"/>
    </row>
    <row r="20" spans="1:53" s="114" customFormat="1" ht="12.75" x14ac:dyDescent="0.2">
      <c r="A20" s="228"/>
      <c r="B20" s="228"/>
      <c r="C20" s="233" t="s">
        <v>280</v>
      </c>
      <c r="D20" s="230">
        <f>D9+D18</f>
        <v>16296</v>
      </c>
      <c r="E20" s="230">
        <f>E9+E18</f>
        <v>14316.04</v>
      </c>
      <c r="F20" s="231">
        <v>2.2800000000000001E-2</v>
      </c>
      <c r="G20" s="228"/>
      <c r="H20" s="230">
        <f>H9+H18</f>
        <v>16616</v>
      </c>
      <c r="I20" s="230">
        <f>I9+I18</f>
        <v>15752.16</v>
      </c>
      <c r="J20" s="231">
        <v>2.2800000000000001E-2</v>
      </c>
      <c r="K20" s="228"/>
      <c r="L20" s="230">
        <f>L9+L18</f>
        <v>16994.349999999999</v>
      </c>
      <c r="M20" s="230">
        <f>M9+M18</f>
        <v>15076.36</v>
      </c>
      <c r="N20" s="231">
        <v>2.2800000000000001E-2</v>
      </c>
      <c r="O20" s="228"/>
      <c r="P20" s="230">
        <f>P9+P18</f>
        <v>17304.75</v>
      </c>
      <c r="Q20" s="230">
        <f>Q9+Q18</f>
        <v>15314.8</v>
      </c>
      <c r="R20" s="231">
        <v>2.2800000000000001E-2</v>
      </c>
      <c r="S20" s="228"/>
      <c r="T20" s="230">
        <f>T9+T18</f>
        <v>17003.599999999999</v>
      </c>
      <c r="U20" s="230">
        <f>U9+U18</f>
        <v>15573.63</v>
      </c>
      <c r="V20" s="231">
        <v>2.2800000000000001E-2</v>
      </c>
      <c r="W20" s="228"/>
      <c r="X20" s="230">
        <f>X9+X18</f>
        <v>17000</v>
      </c>
      <c r="Y20" s="230">
        <f>Y9+Y18</f>
        <v>16904.580000000002</v>
      </c>
      <c r="Z20" s="231">
        <f>(X20-T20)/T20</f>
        <v>-2.1171987108603736E-4</v>
      </c>
      <c r="AA20" s="228"/>
      <c r="AB20" s="230">
        <f>AB9+AB18</f>
        <v>17140</v>
      </c>
      <c r="AC20" s="230">
        <f>AC9+AC18</f>
        <v>15864.96</v>
      </c>
      <c r="AD20" s="231">
        <f>(AB20-X20)/X20</f>
        <v>8.2352941176470594E-3</v>
      </c>
      <c r="AE20" s="228"/>
      <c r="AF20" s="230">
        <f>AF9+AF18</f>
        <v>17285</v>
      </c>
      <c r="AG20" s="382">
        <f>AG9+AG18</f>
        <v>17295</v>
      </c>
      <c r="AH20" s="230">
        <f>AH9+AH18</f>
        <v>15403</v>
      </c>
      <c r="AI20" s="231">
        <f t="shared" si="0"/>
        <v>9.0431738623103844E-3</v>
      </c>
      <c r="AJ20" s="231"/>
      <c r="AK20" s="402">
        <f>AK9+AK18</f>
        <v>17790</v>
      </c>
      <c r="AL20" s="402">
        <f>AL9+AL18</f>
        <v>8386.32</v>
      </c>
      <c r="AM20" s="231">
        <f>(AK20-AG20)/AG20</f>
        <v>2.8620988725065046E-2</v>
      </c>
      <c r="AN20" s="228"/>
      <c r="AO20" s="230">
        <f>AO9+AO18</f>
        <v>18259.5</v>
      </c>
      <c r="AP20" s="230">
        <f>AP9+AP18</f>
        <v>469.5</v>
      </c>
      <c r="AQ20" s="231">
        <f t="shared" si="1"/>
        <v>2.6391231028667791E-2</v>
      </c>
      <c r="AR20" s="233"/>
    </row>
    <row r="21" spans="1:53" x14ac:dyDescent="0.25">
      <c r="D21" s="120"/>
      <c r="H21" s="120"/>
      <c r="L21" s="120"/>
      <c r="P21" s="120"/>
      <c r="T21" s="120"/>
      <c r="X21" s="120"/>
      <c r="AB21" s="120"/>
      <c r="AF21" s="120"/>
      <c r="AG21" s="120"/>
      <c r="AK21" s="403"/>
      <c r="AP21" s="211"/>
      <c r="AQ21" s="211"/>
    </row>
    <row r="22" spans="1:53" s="111" customFormat="1" thickBot="1" x14ac:dyDescent="0.25">
      <c r="C22" s="111" t="s">
        <v>281</v>
      </c>
      <c r="D22" s="122"/>
      <c r="E22" s="121">
        <f>D20-E20</f>
        <v>1979.9599999999991</v>
      </c>
      <c r="H22" s="122"/>
      <c r="I22" s="121">
        <f>H20-I20</f>
        <v>863.84000000000015</v>
      </c>
      <c r="L22" s="122"/>
      <c r="M22" s="121">
        <f>L20-M20</f>
        <v>1917.989999999998</v>
      </c>
      <c r="P22" s="122"/>
      <c r="Q22" s="121">
        <f>P20-Q20</f>
        <v>1989.9500000000007</v>
      </c>
      <c r="T22" s="122"/>
      <c r="U22" s="121">
        <f>T20-U20</f>
        <v>1429.9699999999993</v>
      </c>
      <c r="X22" s="122"/>
      <c r="Y22" s="121">
        <f>X20-Y20</f>
        <v>95.419999999998254</v>
      </c>
      <c r="AB22" s="122"/>
      <c r="AC22" s="121">
        <f>AB20-AC20</f>
        <v>1275.0400000000009</v>
      </c>
      <c r="AF22" s="122"/>
      <c r="AG22" s="122"/>
      <c r="AH22" s="121">
        <f>AG20-AH20</f>
        <v>1892</v>
      </c>
      <c r="AK22" s="122"/>
      <c r="AL22" s="121">
        <f>AK20-AL20</f>
        <v>9403.68</v>
      </c>
      <c r="AO22" s="123"/>
      <c r="AP22" s="123"/>
    </row>
    <row r="23" spans="1:53" ht="14.25" thickTop="1" x14ac:dyDescent="0.25">
      <c r="D23" s="120"/>
      <c r="F23" s="216"/>
      <c r="H23" s="120"/>
      <c r="J23" s="216"/>
      <c r="L23" s="120"/>
      <c r="N23" s="216"/>
      <c r="P23" s="120"/>
      <c r="R23" s="216"/>
      <c r="T23" s="120"/>
      <c r="V23" s="80"/>
      <c r="X23" s="120"/>
      <c r="AB23" s="120"/>
      <c r="AF23" s="120"/>
      <c r="AG23" s="120"/>
      <c r="AK23" s="403"/>
      <c r="AO23" s="240" t="s">
        <v>1195</v>
      </c>
      <c r="AP23" s="241"/>
      <c r="AQ23" s="242"/>
      <c r="AR23" s="211"/>
      <c r="AS23" s="111"/>
      <c r="AT23" s="111"/>
      <c r="AU23" s="111"/>
      <c r="AV23" s="111"/>
      <c r="AW23" s="211"/>
      <c r="AX23" s="211"/>
      <c r="AY23" s="211"/>
      <c r="AZ23" s="211"/>
      <c r="BA23" s="211"/>
    </row>
    <row r="24" spans="1:53" x14ac:dyDescent="0.25">
      <c r="F24" s="216"/>
      <c r="J24" s="216"/>
      <c r="N24" s="216"/>
      <c r="R24" s="216"/>
      <c r="V24" s="80"/>
      <c r="AO24" s="243" t="s">
        <v>313</v>
      </c>
      <c r="AP24" s="5"/>
      <c r="AQ24" s="299">
        <f>AO9*0.0145</f>
        <v>247.94275000000002</v>
      </c>
      <c r="AR24" s="211"/>
      <c r="AS24" s="211"/>
      <c r="AT24" s="211"/>
      <c r="AU24" s="211"/>
      <c r="AV24" s="211"/>
      <c r="AW24" s="211"/>
      <c r="AX24" s="211"/>
      <c r="AY24" s="211"/>
      <c r="AZ24" s="211"/>
      <c r="BA24" s="211"/>
    </row>
    <row r="25" spans="1:53" x14ac:dyDescent="0.25">
      <c r="F25" s="216"/>
      <c r="J25" s="216"/>
      <c r="N25" s="216"/>
      <c r="R25" s="216"/>
      <c r="V25" s="80"/>
      <c r="AO25" s="210" t="s">
        <v>314</v>
      </c>
      <c r="AP25" s="5"/>
      <c r="AQ25" s="299">
        <f>AO9*0.0116</f>
        <v>198.35419999999999</v>
      </c>
      <c r="AR25" s="211"/>
      <c r="AS25" s="213"/>
      <c r="AT25" s="213"/>
      <c r="AU25" s="213"/>
      <c r="AV25" s="213"/>
      <c r="AW25" s="211"/>
      <c r="AX25" s="211"/>
      <c r="AY25" s="211"/>
      <c r="AZ25" s="211"/>
      <c r="BA25" s="211"/>
    </row>
    <row r="26" spans="1:53" x14ac:dyDescent="0.25">
      <c r="F26" s="216"/>
      <c r="J26" s="216"/>
      <c r="N26" s="216"/>
      <c r="R26" s="216"/>
      <c r="V26" s="80"/>
      <c r="AO26" s="210" t="s">
        <v>315</v>
      </c>
      <c r="AP26" s="5"/>
      <c r="AQ26" s="299">
        <f>AO9*0.003</f>
        <v>51.298500000000004</v>
      </c>
      <c r="AR26" s="211"/>
      <c r="AS26" s="211"/>
      <c r="AT26" s="211"/>
      <c r="AU26" s="211"/>
      <c r="AV26" s="211"/>
      <c r="AW26" s="211"/>
      <c r="AX26" s="211"/>
      <c r="AY26" s="211"/>
      <c r="AZ26" s="211"/>
      <c r="BA26" s="211"/>
    </row>
    <row r="27" spans="1:53" x14ac:dyDescent="0.25">
      <c r="F27" s="216"/>
      <c r="J27" s="216"/>
      <c r="N27" s="216"/>
      <c r="R27" s="216"/>
      <c r="V27" s="80"/>
      <c r="AO27" s="210" t="s">
        <v>316</v>
      </c>
      <c r="AP27" s="5"/>
      <c r="AQ27" s="299">
        <f>'County Retirement'!G22</f>
        <v>1846.7119126371172</v>
      </c>
      <c r="AR27" s="211"/>
      <c r="AS27" s="147"/>
      <c r="AT27" s="147"/>
      <c r="AU27" s="147"/>
      <c r="AV27" s="147"/>
      <c r="AW27" s="211"/>
      <c r="AX27" s="211"/>
      <c r="AY27" s="211"/>
      <c r="AZ27" s="211"/>
      <c r="BA27" s="211"/>
    </row>
    <row r="28" spans="1:53" x14ac:dyDescent="0.25">
      <c r="F28" s="216"/>
      <c r="J28" s="216"/>
      <c r="N28" s="216"/>
      <c r="R28" s="216"/>
      <c r="V28" s="80"/>
      <c r="AO28" s="210" t="s">
        <v>317</v>
      </c>
      <c r="AP28" s="5"/>
      <c r="AQ28" s="300" t="s">
        <v>1093</v>
      </c>
      <c r="AR28" s="211"/>
      <c r="AS28" s="211"/>
      <c r="AT28" s="211"/>
      <c r="AU28" s="211"/>
      <c r="AV28" s="211"/>
      <c r="AW28" s="211"/>
      <c r="AX28" s="211"/>
      <c r="AY28" s="211"/>
      <c r="AZ28" s="211"/>
      <c r="BA28" s="211"/>
    </row>
    <row r="29" spans="1:53" x14ac:dyDescent="0.25">
      <c r="F29" s="216"/>
      <c r="J29" s="216"/>
      <c r="N29" s="216"/>
      <c r="R29" s="216"/>
      <c r="V29" s="80"/>
      <c r="AO29" s="235"/>
      <c r="AP29" s="237"/>
      <c r="AQ29" s="301">
        <f>SUM(AQ24:AQ28)</f>
        <v>2344.307362637117</v>
      </c>
      <c r="AR29" s="211"/>
      <c r="AS29" s="114"/>
      <c r="AT29" s="114"/>
      <c r="AU29" s="114"/>
      <c r="AV29" s="114"/>
      <c r="AW29" s="211"/>
      <c r="AX29" s="211"/>
      <c r="AY29" s="211"/>
      <c r="AZ29" s="211"/>
      <c r="BA29" s="211"/>
    </row>
    <row r="30" spans="1:53" x14ac:dyDescent="0.25">
      <c r="F30" s="216"/>
      <c r="J30" s="216"/>
      <c r="N30" s="216"/>
      <c r="R30" s="216"/>
      <c r="V30" s="80"/>
      <c r="AO30" s="212"/>
      <c r="AP30" s="212"/>
      <c r="AQ30" s="211"/>
      <c r="AR30" s="211"/>
      <c r="AS30" s="211"/>
      <c r="AT30" s="211"/>
      <c r="AU30" s="211"/>
      <c r="AV30" s="211"/>
      <c r="AW30" s="211"/>
      <c r="AX30" s="211"/>
      <c r="AY30" s="211"/>
      <c r="AZ30" s="211"/>
      <c r="BA30" s="211"/>
    </row>
    <row r="31" spans="1:53" x14ac:dyDescent="0.25">
      <c r="F31" s="216"/>
      <c r="J31" s="216"/>
      <c r="N31" s="216"/>
      <c r="R31" s="216"/>
      <c r="V31" s="80"/>
      <c r="AO31" s="212"/>
      <c r="AP31" s="212"/>
      <c r="AQ31" s="211"/>
      <c r="AR31" s="211"/>
      <c r="AS31" s="211"/>
      <c r="AT31" s="211"/>
      <c r="AU31" s="211"/>
      <c r="AV31" s="211"/>
      <c r="AW31" s="211"/>
      <c r="AX31" s="211"/>
      <c r="AY31" s="211"/>
      <c r="AZ31" s="211"/>
      <c r="BA31" s="211"/>
    </row>
    <row r="32" spans="1:53" x14ac:dyDescent="0.25">
      <c r="D32" s="120"/>
      <c r="F32" s="216"/>
      <c r="H32" s="120"/>
      <c r="J32" s="216"/>
      <c r="L32" s="120"/>
      <c r="N32" s="216"/>
      <c r="P32" s="120"/>
      <c r="R32" s="216"/>
      <c r="T32" s="120"/>
      <c r="V32" s="80"/>
      <c r="X32" s="120"/>
      <c r="AB32" s="120"/>
      <c r="AF32" s="120"/>
      <c r="AG32" s="120"/>
      <c r="AK32" s="403"/>
      <c r="AO32" s="212"/>
      <c r="AP32" s="212"/>
      <c r="AQ32" s="211"/>
      <c r="AR32" s="211"/>
      <c r="AS32" s="211"/>
      <c r="AT32" s="211"/>
      <c r="AU32" s="211"/>
      <c r="AV32" s="211"/>
      <c r="AW32" s="211"/>
      <c r="AX32" s="211"/>
      <c r="AY32" s="211"/>
      <c r="AZ32" s="211"/>
      <c r="BA32" s="211"/>
    </row>
    <row r="33" spans="4:53" x14ac:dyDescent="0.25">
      <c r="D33" s="120"/>
      <c r="F33" s="216"/>
      <c r="H33" s="120"/>
      <c r="J33" s="216"/>
      <c r="L33" s="120"/>
      <c r="N33" s="216"/>
      <c r="P33" s="120"/>
      <c r="R33" s="216"/>
      <c r="T33" s="120"/>
      <c r="V33" s="80"/>
      <c r="X33" s="120"/>
      <c r="AB33" s="120"/>
      <c r="AF33" s="120"/>
      <c r="AG33" s="120"/>
      <c r="AK33" s="403"/>
      <c r="AO33" s="131"/>
      <c r="AP33" s="131"/>
      <c r="AQ33" s="211"/>
      <c r="AR33" s="211"/>
      <c r="AS33" s="211"/>
      <c r="AT33" s="211"/>
      <c r="AU33" s="211"/>
      <c r="AV33" s="211"/>
      <c r="AW33" s="211"/>
      <c r="AX33" s="211"/>
      <c r="AY33" s="211"/>
      <c r="AZ33" s="211"/>
      <c r="BA33" s="211"/>
    </row>
    <row r="34" spans="4:53" x14ac:dyDescent="0.25">
      <c r="D34" s="120"/>
      <c r="F34" s="216"/>
      <c r="H34" s="120"/>
      <c r="J34" s="216"/>
      <c r="L34" s="120"/>
      <c r="N34" s="216"/>
      <c r="P34" s="120"/>
      <c r="R34" s="216"/>
      <c r="T34" s="120"/>
      <c r="V34" s="80"/>
      <c r="X34" s="120"/>
      <c r="AB34" s="120"/>
      <c r="AF34" s="120"/>
      <c r="AG34" s="120"/>
      <c r="AK34" s="403"/>
      <c r="AO34" s="131"/>
      <c r="AP34" s="131"/>
      <c r="AQ34" s="211"/>
      <c r="AR34" s="211"/>
      <c r="AS34" s="211"/>
      <c r="AT34" s="211"/>
      <c r="AU34" s="211"/>
      <c r="AV34" s="211"/>
      <c r="AW34" s="211"/>
      <c r="AX34" s="211"/>
      <c r="AY34" s="211"/>
      <c r="AZ34" s="211"/>
      <c r="BA34" s="211"/>
    </row>
    <row r="35" spans="4:53" x14ac:dyDescent="0.25">
      <c r="D35" s="120"/>
      <c r="F35" s="216"/>
      <c r="H35" s="120"/>
      <c r="J35" s="216"/>
      <c r="L35" s="120"/>
      <c r="N35" s="216"/>
      <c r="P35" s="120"/>
      <c r="R35" s="216"/>
      <c r="T35" s="120"/>
      <c r="V35" s="80"/>
      <c r="X35" s="120"/>
      <c r="AB35" s="120"/>
      <c r="AF35" s="120"/>
      <c r="AG35" s="120"/>
      <c r="AK35" s="403"/>
      <c r="AO35" s="212"/>
      <c r="AP35" s="212"/>
      <c r="AQ35" s="211"/>
      <c r="AR35" s="211"/>
      <c r="AS35" s="211"/>
      <c r="AT35" s="211"/>
      <c r="AU35" s="211"/>
      <c r="AV35" s="211"/>
      <c r="AW35" s="211"/>
      <c r="AX35" s="211"/>
      <c r="AY35" s="211"/>
      <c r="AZ35" s="211"/>
      <c r="BA35" s="211"/>
    </row>
    <row r="36" spans="4:53" x14ac:dyDescent="0.25">
      <c r="D36" s="120"/>
      <c r="F36" s="216"/>
      <c r="H36" s="120"/>
      <c r="J36" s="216"/>
      <c r="L36" s="120"/>
      <c r="N36" s="216"/>
      <c r="P36" s="120"/>
      <c r="R36" s="216"/>
      <c r="T36" s="120"/>
      <c r="V36" s="80"/>
      <c r="X36" s="120"/>
      <c r="AB36" s="120"/>
      <c r="AF36" s="120"/>
      <c r="AG36" s="120"/>
      <c r="AK36" s="403"/>
      <c r="AO36" s="131"/>
      <c r="AP36" s="211"/>
      <c r="AQ36" s="211"/>
      <c r="AR36" s="211"/>
      <c r="AS36" s="211"/>
      <c r="AT36" s="211"/>
      <c r="AU36" s="211"/>
      <c r="AV36" s="211"/>
      <c r="AW36" s="211"/>
      <c r="AX36" s="211"/>
      <c r="AY36" s="211"/>
      <c r="AZ36" s="211"/>
      <c r="BA36" s="211"/>
    </row>
    <row r="37" spans="4:53" x14ac:dyDescent="0.25">
      <c r="D37" s="120"/>
      <c r="F37" s="216"/>
      <c r="H37" s="120"/>
      <c r="J37" s="216"/>
      <c r="L37" s="120"/>
      <c r="N37" s="216"/>
      <c r="P37" s="120"/>
      <c r="R37" s="216"/>
      <c r="T37" s="120"/>
      <c r="V37" s="80"/>
      <c r="X37" s="120"/>
      <c r="AB37" s="120"/>
      <c r="AF37" s="120"/>
      <c r="AG37" s="120"/>
      <c r="AK37" s="403"/>
      <c r="AO37" s="131"/>
      <c r="AP37" s="211"/>
      <c r="AQ37" s="211"/>
      <c r="AR37" s="211"/>
      <c r="AS37" s="211"/>
      <c r="AT37" s="211"/>
      <c r="AU37" s="211"/>
      <c r="AV37" s="211"/>
      <c r="AW37" s="211"/>
      <c r="AX37" s="211"/>
      <c r="AY37" s="211"/>
      <c r="AZ37" s="211"/>
      <c r="BA37" s="211"/>
    </row>
    <row r="38" spans="4:53" x14ac:dyDescent="0.25">
      <c r="D38" s="120"/>
      <c r="F38" s="216"/>
      <c r="H38" s="120"/>
      <c r="J38" s="216"/>
      <c r="L38" s="120"/>
      <c r="N38" s="216"/>
      <c r="P38" s="120"/>
      <c r="R38" s="216"/>
      <c r="T38" s="120"/>
      <c r="V38" s="80"/>
      <c r="X38" s="120"/>
      <c r="AB38" s="120"/>
      <c r="AF38" s="120"/>
      <c r="AG38" s="120"/>
      <c r="AK38" s="403"/>
      <c r="AO38" s="131"/>
      <c r="AP38" s="211"/>
      <c r="AQ38" s="211"/>
      <c r="AR38" s="211"/>
      <c r="AS38" s="211"/>
      <c r="AT38" s="211"/>
      <c r="AU38" s="211"/>
      <c r="AV38" s="211"/>
      <c r="AW38" s="211"/>
      <c r="AX38" s="211"/>
      <c r="AY38" s="211"/>
      <c r="AZ38" s="211"/>
      <c r="BA38" s="211"/>
    </row>
    <row r="39" spans="4:53" x14ac:dyDescent="0.25">
      <c r="D39" s="120"/>
      <c r="F39" s="216"/>
      <c r="H39" s="120"/>
      <c r="J39" s="216"/>
      <c r="L39" s="120"/>
      <c r="N39" s="216"/>
      <c r="P39" s="120"/>
      <c r="R39" s="216"/>
      <c r="T39" s="120"/>
      <c r="V39" s="80"/>
      <c r="X39" s="120"/>
      <c r="AB39" s="120"/>
      <c r="AF39" s="120"/>
      <c r="AG39" s="120"/>
      <c r="AK39" s="403"/>
      <c r="AO39" s="212"/>
      <c r="AP39" s="212"/>
      <c r="AQ39" s="211"/>
      <c r="AR39" s="211"/>
      <c r="AS39" s="211"/>
      <c r="AT39" s="211"/>
      <c r="AU39" s="211"/>
      <c r="AV39" s="211"/>
      <c r="AW39" s="211"/>
      <c r="AX39" s="211"/>
      <c r="AY39" s="211"/>
      <c r="AZ39" s="211"/>
      <c r="BA39" s="211"/>
    </row>
    <row r="40" spans="4:53" x14ac:dyDescent="0.25">
      <c r="D40" s="120"/>
      <c r="F40" s="216"/>
      <c r="H40" s="120"/>
      <c r="J40" s="216"/>
      <c r="L40" s="120"/>
      <c r="N40" s="216"/>
      <c r="P40" s="120"/>
      <c r="R40" s="216"/>
      <c r="T40" s="120"/>
      <c r="V40" s="80"/>
      <c r="X40" s="120"/>
      <c r="AB40" s="120"/>
      <c r="AF40" s="120"/>
      <c r="AG40" s="120"/>
      <c r="AK40" s="403"/>
      <c r="AO40" s="212"/>
      <c r="AP40" s="212"/>
      <c r="AQ40" s="211"/>
      <c r="AR40" s="211"/>
      <c r="AS40" s="211"/>
      <c r="AT40" s="211"/>
      <c r="AU40" s="211"/>
      <c r="AV40" s="211"/>
      <c r="AW40" s="211"/>
      <c r="AX40" s="211"/>
      <c r="AY40" s="211"/>
      <c r="AZ40" s="211"/>
      <c r="BA40" s="211"/>
    </row>
    <row r="41" spans="4:53" x14ac:dyDescent="0.25">
      <c r="D41" s="120"/>
      <c r="F41" s="216"/>
      <c r="H41" s="120"/>
      <c r="J41" s="216"/>
      <c r="L41" s="120"/>
      <c r="N41" s="216"/>
      <c r="P41" s="120"/>
      <c r="R41" s="216"/>
      <c r="T41" s="120"/>
      <c r="V41" s="80"/>
      <c r="X41" s="120"/>
      <c r="AB41" s="120"/>
      <c r="AF41" s="120"/>
      <c r="AG41" s="120"/>
      <c r="AK41" s="403"/>
      <c r="AO41" s="212"/>
      <c r="AP41" s="212"/>
      <c r="AQ41" s="211"/>
      <c r="AR41" s="211"/>
      <c r="AS41" s="211"/>
      <c r="AT41" s="211"/>
      <c r="AU41" s="211"/>
      <c r="AV41" s="211"/>
      <c r="AW41" s="211"/>
      <c r="AX41" s="211"/>
      <c r="AY41" s="211"/>
      <c r="AZ41" s="211"/>
      <c r="BA41" s="211"/>
    </row>
    <row r="42" spans="4:53" x14ac:dyDescent="0.25">
      <c r="D42" s="120"/>
      <c r="H42" s="120"/>
      <c r="L42" s="120"/>
      <c r="P42" s="120"/>
      <c r="T42" s="120"/>
      <c r="X42" s="120"/>
      <c r="AB42" s="120"/>
      <c r="AF42" s="120"/>
      <c r="AG42" s="120"/>
      <c r="AK42" s="403"/>
      <c r="AO42" s="212"/>
      <c r="AP42" s="212"/>
      <c r="AQ42" s="211"/>
      <c r="AR42" s="211"/>
      <c r="AS42" s="211"/>
      <c r="AT42" s="211"/>
      <c r="AU42" s="211"/>
      <c r="AV42" s="211"/>
      <c r="AW42" s="211"/>
      <c r="AX42" s="211"/>
      <c r="AY42" s="211"/>
      <c r="AZ42" s="211"/>
      <c r="BA42" s="211"/>
    </row>
    <row r="43" spans="4:53" x14ac:dyDescent="0.25">
      <c r="D43" s="120"/>
      <c r="H43" s="120"/>
      <c r="L43" s="120"/>
      <c r="P43" s="120"/>
      <c r="T43" s="120"/>
      <c r="X43" s="120"/>
      <c r="AB43" s="120"/>
      <c r="AF43" s="120"/>
      <c r="AG43" s="120"/>
      <c r="AK43" s="403"/>
      <c r="AO43" s="212"/>
      <c r="AP43" s="212"/>
      <c r="AQ43" s="211"/>
      <c r="AR43" s="211"/>
      <c r="AS43" s="211"/>
      <c r="AT43" s="211"/>
      <c r="AU43" s="211"/>
      <c r="AV43" s="211"/>
      <c r="AW43" s="211"/>
      <c r="AX43" s="211"/>
      <c r="AY43" s="211"/>
      <c r="AZ43" s="211"/>
      <c r="BA43" s="211"/>
    </row>
    <row r="44" spans="4:53" x14ac:dyDescent="0.25">
      <c r="D44" s="120"/>
      <c r="H44" s="120"/>
      <c r="L44" s="120"/>
      <c r="P44" s="120"/>
      <c r="T44" s="120"/>
      <c r="X44" s="120"/>
      <c r="AB44" s="120"/>
      <c r="AF44" s="120"/>
      <c r="AG44" s="120"/>
      <c r="AK44" s="403"/>
      <c r="AO44" s="212"/>
      <c r="AP44" s="212"/>
      <c r="AQ44" s="211"/>
      <c r="AR44" s="211"/>
      <c r="AS44" s="211"/>
      <c r="AT44" s="211"/>
      <c r="AU44" s="211"/>
      <c r="AV44" s="211"/>
      <c r="AW44" s="211"/>
      <c r="AX44" s="211"/>
      <c r="AY44" s="211"/>
      <c r="AZ44" s="211"/>
      <c r="BA44" s="211"/>
    </row>
    <row r="45" spans="4:53" x14ac:dyDescent="0.25">
      <c r="D45" s="120"/>
      <c r="H45" s="120"/>
      <c r="L45" s="120"/>
      <c r="P45" s="120"/>
      <c r="T45" s="120"/>
      <c r="X45" s="120"/>
      <c r="AB45" s="120"/>
      <c r="AF45" s="120"/>
      <c r="AG45" s="120"/>
      <c r="AK45" s="403"/>
      <c r="AO45" s="212"/>
      <c r="AP45" s="212"/>
      <c r="AQ45" s="211"/>
      <c r="AR45" s="211"/>
      <c r="AS45" s="211"/>
      <c r="AT45" s="211"/>
      <c r="AU45" s="211"/>
      <c r="AV45" s="211"/>
      <c r="AW45" s="211"/>
      <c r="AX45" s="211"/>
      <c r="AY45" s="211"/>
      <c r="AZ45" s="211"/>
      <c r="BA45" s="211"/>
    </row>
    <row r="46" spans="4:53" x14ac:dyDescent="0.25">
      <c r="D46" s="120"/>
      <c r="H46" s="120"/>
      <c r="L46" s="120"/>
      <c r="P46" s="120"/>
      <c r="T46" s="120"/>
      <c r="X46" s="120"/>
      <c r="AB46" s="120"/>
      <c r="AF46" s="120"/>
      <c r="AG46" s="120"/>
      <c r="AK46" s="403"/>
      <c r="AO46" s="212"/>
      <c r="AP46" s="212"/>
      <c r="AQ46" s="211"/>
      <c r="AR46" s="211"/>
      <c r="AS46" s="211"/>
      <c r="AT46" s="211"/>
      <c r="AU46" s="211"/>
      <c r="AV46" s="211"/>
      <c r="AW46" s="211"/>
      <c r="AX46" s="211"/>
      <c r="AY46" s="211"/>
      <c r="AZ46" s="211"/>
      <c r="BA46" s="211"/>
    </row>
    <row r="47" spans="4:53" x14ac:dyDescent="0.25">
      <c r="D47" s="120"/>
      <c r="H47" s="120"/>
      <c r="L47" s="120"/>
      <c r="P47" s="120"/>
      <c r="T47" s="120"/>
      <c r="X47" s="120"/>
      <c r="AB47" s="120"/>
      <c r="AF47" s="120"/>
      <c r="AG47" s="120"/>
      <c r="AK47" s="403"/>
    </row>
    <row r="48" spans="4:53"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403" t="s">
        <v>1511</v>
      </c>
      <c r="E126" s="211">
        <v>30.35</v>
      </c>
      <c r="F126" s="211">
        <v>25</v>
      </c>
      <c r="G126" s="394"/>
      <c r="H126" s="403"/>
      <c r="I126" s="394"/>
      <c r="J126" s="394"/>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8" orientation="landscape" r:id="rId1"/>
  <headerFooter alignWithMargins="0">
    <oddHeader>&amp;C&amp;"-,Bold"Proposed Budget &amp; Analysis Report for FY20</oddHeader>
    <oddFooter>&amp;C&amp;D&amp;T&amp;R&amp;A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3:BA331"/>
  <sheetViews>
    <sheetView zoomScaleNormal="100" zoomScaleSheetLayoutView="100" workbookViewId="0">
      <selection activeCell="C15" sqref="C15"/>
    </sheetView>
  </sheetViews>
  <sheetFormatPr defaultRowHeight="13.5" x14ac:dyDescent="0.25"/>
  <cols>
    <col min="1" max="1" width="19" style="161" bestFit="1" customWidth="1"/>
    <col min="2" max="2" width="6" style="271" customWidth="1"/>
    <col min="3" max="3" width="31" style="161" customWidth="1"/>
    <col min="4" max="4" width="13.28515625" style="211" hidden="1" customWidth="1"/>
    <col min="5" max="5" width="12.28515625" style="211" hidden="1" customWidth="1"/>
    <col min="6" max="6" width="7.28515625" style="211" hidden="1" customWidth="1"/>
    <col min="7" max="7" width="3.5703125" style="211" hidden="1" customWidth="1"/>
    <col min="8" max="8" width="13.28515625" style="211" hidden="1" customWidth="1"/>
    <col min="9" max="9" width="12.28515625" style="211" hidden="1" customWidth="1"/>
    <col min="10" max="10" width="7.28515625" style="211" hidden="1" customWidth="1"/>
    <col min="11" max="11" width="3.5703125" style="211" hidden="1" customWidth="1"/>
    <col min="12" max="12" width="13.28515625" style="211" hidden="1" customWidth="1"/>
    <col min="13" max="13" width="12.28515625" style="211" hidden="1" customWidth="1"/>
    <col min="14" max="14" width="7.28515625" style="211" hidden="1" customWidth="1"/>
    <col min="15" max="15" width="3.5703125" style="211" hidden="1" customWidth="1"/>
    <col min="16" max="16" width="13.28515625" style="211" hidden="1" customWidth="1"/>
    <col min="17" max="17" width="12.28515625" style="211" hidden="1" customWidth="1"/>
    <col min="18" max="18" width="7.28515625" style="211" hidden="1" customWidth="1"/>
    <col min="19" max="19" width="3.5703125" style="211" hidden="1" customWidth="1"/>
    <col min="20" max="20" width="13.28515625" style="161" hidden="1" customWidth="1"/>
    <col min="21" max="21" width="12.28515625" style="161" hidden="1" customWidth="1"/>
    <col min="22" max="22" width="7.28515625" style="161" hidden="1" customWidth="1"/>
    <col min="23" max="23" width="3.5703125" style="161" hidden="1" customWidth="1"/>
    <col min="24" max="25" width="11.5703125" style="161" hidden="1" customWidth="1"/>
    <col min="26" max="26" width="8.28515625" style="161" hidden="1" customWidth="1"/>
    <col min="27" max="27" width="2.42578125" style="161" hidden="1" customWidth="1"/>
    <col min="28" max="28" width="11.5703125" style="161" customWidth="1"/>
    <col min="29" max="29" width="12.28515625" style="161" bestFit="1" customWidth="1"/>
    <col min="30" max="30" width="9.5703125" style="161" bestFit="1" customWidth="1"/>
    <col min="31" max="31" width="2.42578125" style="211" customWidth="1"/>
    <col min="32" max="32" width="11.5703125" style="211" hidden="1" customWidth="1"/>
    <col min="33" max="33" width="11.5703125" style="211" customWidth="1"/>
    <col min="34" max="34" width="12.28515625" style="211" bestFit="1" customWidth="1"/>
    <col min="35" max="35" width="9.5703125" style="211" bestFit="1" customWidth="1"/>
    <col min="36" max="36" width="1.85546875" style="161" customWidth="1"/>
    <col min="37" max="37" width="11.5703125" style="394" customWidth="1"/>
    <col min="38" max="38" width="12.28515625" style="394" bestFit="1" customWidth="1"/>
    <col min="39" max="39" width="9.5703125" style="394" bestFit="1" customWidth="1"/>
    <col min="40" max="40" width="2.42578125" style="394" customWidth="1"/>
    <col min="41" max="41" width="14" style="104" customWidth="1"/>
    <col min="42" max="42" width="12.28515625" style="104" bestFit="1" customWidth="1"/>
    <col min="43" max="43" width="9.28515625" style="161" bestFit="1" customWidth="1"/>
    <col min="44" max="44" width="26.5703125" style="161" customWidth="1"/>
    <col min="45" max="16384" width="9.140625" style="161"/>
  </cols>
  <sheetData>
    <row r="3" spans="1:44" s="111" customFormat="1" ht="12.75" x14ac:dyDescent="0.2">
      <c r="B3" s="27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9"/>
      <c r="AO3" s="805" t="s">
        <v>1593</v>
      </c>
      <c r="AP3" s="805"/>
      <c r="AQ3" s="805"/>
      <c r="AR3" s="805"/>
    </row>
    <row r="4" spans="1:44" ht="27" x14ac:dyDescent="0.25">
      <c r="A4" s="271" t="s">
        <v>272</v>
      </c>
      <c r="C4" s="308" t="s">
        <v>1979</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638</v>
      </c>
      <c r="B6" s="309" t="str">
        <f>MID(A6,14,4)</f>
        <v>5129</v>
      </c>
      <c r="C6" s="161" t="s">
        <v>1871</v>
      </c>
      <c r="D6" s="245">
        <v>58386</v>
      </c>
      <c r="E6" s="245">
        <v>58386</v>
      </c>
      <c r="F6" s="216"/>
      <c r="G6" s="213"/>
      <c r="H6" s="245">
        <v>60964</v>
      </c>
      <c r="I6" s="245">
        <v>60964</v>
      </c>
      <c r="J6" s="216"/>
      <c r="K6" s="213"/>
      <c r="L6" s="245">
        <v>64944.06</v>
      </c>
      <c r="M6" s="245">
        <v>62800.92</v>
      </c>
      <c r="N6" s="216"/>
      <c r="O6" s="213"/>
      <c r="P6" s="245">
        <v>66510.929999999993</v>
      </c>
      <c r="Q6" s="245">
        <v>64310.48</v>
      </c>
      <c r="R6" s="216"/>
      <c r="S6" s="213"/>
      <c r="T6" s="162">
        <v>67501.48</v>
      </c>
      <c r="U6" s="162">
        <v>67501.460000000006</v>
      </c>
      <c r="V6" s="80"/>
      <c r="W6" s="103"/>
      <c r="X6" s="162">
        <v>71082.7</v>
      </c>
      <c r="Y6" s="162">
        <v>71082.7</v>
      </c>
      <c r="Z6" s="80">
        <v>5.3053947854180404E-2</v>
      </c>
      <c r="AA6" s="103"/>
      <c r="AB6" s="162">
        <v>71513.740000000005</v>
      </c>
      <c r="AC6" s="162">
        <v>71513.740000000005</v>
      </c>
      <c r="AD6" s="80">
        <f t="shared" ref="AD6:AD11" si="0">(AB6-X6)/X6</f>
        <v>6.0639227266269871E-3</v>
      </c>
      <c r="AE6" s="213"/>
      <c r="AF6" s="245">
        <v>72234.100000000006</v>
      </c>
      <c r="AG6" s="372">
        <v>78483.22</v>
      </c>
      <c r="AH6" s="245">
        <v>78483.22</v>
      </c>
      <c r="AI6" s="216">
        <f>(AG6-AB6)/AB6</f>
        <v>9.7456516747690666E-2</v>
      </c>
      <c r="AJ6" s="80"/>
      <c r="AK6" s="398">
        <v>81137.08</v>
      </c>
      <c r="AL6" s="398">
        <v>38303.629999999997</v>
      </c>
      <c r="AM6" s="396">
        <f t="shared" ref="AM6:AM11" si="1">(AK6-AG6)/AG6</f>
        <v>3.3814361847029219E-2</v>
      </c>
      <c r="AN6" s="397"/>
      <c r="AO6" s="163">
        <f>'FY20 Payroll Schedule'!J87</f>
        <v>74797.37999999999</v>
      </c>
      <c r="AP6" s="245">
        <f>AO6-AK6</f>
        <v>-6339.7000000000116</v>
      </c>
      <c r="AQ6" s="396">
        <f>AP6/AK6</f>
        <v>-7.8135668673312023E-2</v>
      </c>
      <c r="AR6" s="524" t="s">
        <v>2093</v>
      </c>
    </row>
    <row r="7" spans="1:44" x14ac:dyDescent="0.25">
      <c r="A7" s="119" t="s">
        <v>639</v>
      </c>
      <c r="B7" s="309" t="str">
        <f>MID(A7,14,4)</f>
        <v>5142</v>
      </c>
      <c r="C7" s="161" t="s">
        <v>1455</v>
      </c>
      <c r="D7" s="245">
        <v>0</v>
      </c>
      <c r="E7" s="245">
        <v>0</v>
      </c>
      <c r="F7" s="216"/>
      <c r="G7" s="213"/>
      <c r="H7" s="245">
        <v>0</v>
      </c>
      <c r="I7" s="245">
        <v>610</v>
      </c>
      <c r="J7" s="216"/>
      <c r="K7" s="213"/>
      <c r="L7" s="245">
        <v>649.44000000000005</v>
      </c>
      <c r="M7" s="245">
        <v>628</v>
      </c>
      <c r="N7" s="216"/>
      <c r="O7" s="213"/>
      <c r="P7" s="245">
        <v>665.11</v>
      </c>
      <c r="Q7" s="245">
        <v>643.1</v>
      </c>
      <c r="R7" s="216"/>
      <c r="S7" s="213"/>
      <c r="T7" s="245">
        <v>675.01</v>
      </c>
      <c r="U7" s="245">
        <v>675.01</v>
      </c>
      <c r="V7" s="216"/>
      <c r="W7" s="213"/>
      <c r="X7" s="245">
        <v>708.12</v>
      </c>
      <c r="Y7" s="245">
        <v>708.12</v>
      </c>
      <c r="Z7" s="216">
        <v>4.9051125168516042E-2</v>
      </c>
      <c r="AA7" s="213"/>
      <c r="AB7" s="245">
        <v>1430.27</v>
      </c>
      <c r="AC7" s="245">
        <v>1430.39</v>
      </c>
      <c r="AD7" s="216">
        <f t="shared" si="0"/>
        <v>1.0198130260407841</v>
      </c>
      <c r="AE7" s="213"/>
      <c r="AF7" s="245">
        <v>1444.68</v>
      </c>
      <c r="AG7" s="372">
        <v>1569.66</v>
      </c>
      <c r="AH7" s="245">
        <v>1569.66</v>
      </c>
      <c r="AI7" s="216">
        <f t="shared" ref="AI7:AI47" si="2">(AG7-AB7)/AB7</f>
        <v>9.7457123480182137E-2</v>
      </c>
      <c r="AJ7" s="80"/>
      <c r="AK7" s="398">
        <v>1622.74</v>
      </c>
      <c r="AL7" s="398">
        <v>0</v>
      </c>
      <c r="AM7" s="396">
        <f t="shared" si="1"/>
        <v>3.3816240459717345E-2</v>
      </c>
      <c r="AN7" s="397"/>
      <c r="AO7" s="163">
        <f>'FY20 Payroll Schedule'!K87</f>
        <v>0</v>
      </c>
      <c r="AP7" s="398">
        <f>AO7-AK7</f>
        <v>-1622.74</v>
      </c>
      <c r="AQ7" s="396">
        <f>AP7/AK7</f>
        <v>-1</v>
      </c>
      <c r="AR7" s="288"/>
    </row>
    <row r="8" spans="1:44" x14ac:dyDescent="0.25">
      <c r="A8" s="161" t="s">
        <v>637</v>
      </c>
      <c r="B8" s="309" t="str">
        <f>MID(A8,14,4)</f>
        <v>5108</v>
      </c>
      <c r="C8" s="161" t="s">
        <v>1721</v>
      </c>
      <c r="D8" s="245">
        <v>6894</v>
      </c>
      <c r="E8" s="245">
        <v>5249.42</v>
      </c>
      <c r="F8" s="216"/>
      <c r="G8" s="213"/>
      <c r="H8" s="245">
        <v>7319</v>
      </c>
      <c r="I8" s="245">
        <v>5813.31</v>
      </c>
      <c r="J8" s="216"/>
      <c r="K8" s="213"/>
      <c r="L8" s="245">
        <v>7798.68</v>
      </c>
      <c r="M8" s="245">
        <v>3927.98</v>
      </c>
      <c r="N8" s="216"/>
      <c r="O8" s="213"/>
      <c r="P8" s="245">
        <v>8259.08</v>
      </c>
      <c r="Q8" s="245">
        <v>6130.7</v>
      </c>
      <c r="R8" s="216"/>
      <c r="S8" s="213"/>
      <c r="T8" s="245">
        <v>8694.43</v>
      </c>
      <c r="U8" s="245">
        <v>6165.26</v>
      </c>
      <c r="V8" s="216"/>
      <c r="W8" s="213"/>
      <c r="X8" s="245">
        <v>7500</v>
      </c>
      <c r="Y8" s="245">
        <v>7365.71</v>
      </c>
      <c r="Z8" s="216">
        <v>-0.13737875858451909</v>
      </c>
      <c r="AA8" s="213"/>
      <c r="AB8" s="245">
        <v>7500</v>
      </c>
      <c r="AC8" s="245">
        <v>7194.43</v>
      </c>
      <c r="AD8" s="216">
        <f t="shared" si="0"/>
        <v>0</v>
      </c>
      <c r="AE8" s="213"/>
      <c r="AF8" s="245">
        <v>8985.7099999999991</v>
      </c>
      <c r="AG8" s="372">
        <v>8991.9699999999993</v>
      </c>
      <c r="AH8" s="245">
        <v>7358.62</v>
      </c>
      <c r="AI8" s="216">
        <f t="shared" si="2"/>
        <v>0.19892933333333324</v>
      </c>
      <c r="AJ8" s="80"/>
      <c r="AK8" s="398">
        <v>7900</v>
      </c>
      <c r="AL8" s="398">
        <v>8109.85</v>
      </c>
      <c r="AM8" s="396">
        <f t="shared" si="1"/>
        <v>-0.12143834999449503</v>
      </c>
      <c r="AN8" s="397"/>
      <c r="AO8" s="408">
        <v>18776.82</v>
      </c>
      <c r="AP8" s="398">
        <f>AO8-AK8</f>
        <v>10876.82</v>
      </c>
      <c r="AQ8" s="396">
        <f>AP8/AK8</f>
        <v>1.3768126582278482</v>
      </c>
      <c r="AR8" s="288"/>
    </row>
    <row r="9" spans="1:44" x14ac:dyDescent="0.25">
      <c r="A9" s="161" t="s">
        <v>640</v>
      </c>
      <c r="B9" s="309" t="str">
        <f>MID(A9,14,4)</f>
        <v>5131</v>
      </c>
      <c r="C9" s="161" t="s">
        <v>1872</v>
      </c>
      <c r="D9" s="245">
        <v>21227</v>
      </c>
      <c r="E9" s="245">
        <v>11095.19</v>
      </c>
      <c r="F9" s="216"/>
      <c r="G9" s="213"/>
      <c r="H9" s="245">
        <v>7260</v>
      </c>
      <c r="I9" s="245">
        <v>7441.92</v>
      </c>
      <c r="J9" s="216"/>
      <c r="K9" s="213"/>
      <c r="L9" s="245">
        <v>7478.8</v>
      </c>
      <c r="M9" s="245">
        <v>9883.84</v>
      </c>
      <c r="N9" s="216"/>
      <c r="O9" s="213"/>
      <c r="P9" s="245">
        <v>16800</v>
      </c>
      <c r="Q9" s="245">
        <v>18445.669999999998</v>
      </c>
      <c r="R9" s="216"/>
      <c r="S9" s="213"/>
      <c r="T9" s="245">
        <v>10000</v>
      </c>
      <c r="U9" s="245">
        <v>19422.64</v>
      </c>
      <c r="V9" s="216"/>
      <c r="W9" s="213"/>
      <c r="X9" s="245">
        <v>25735.31</v>
      </c>
      <c r="Y9" s="245">
        <v>24613.14</v>
      </c>
      <c r="Z9" s="216">
        <v>1.5735310000000002</v>
      </c>
      <c r="AA9" s="213"/>
      <c r="AB9" s="245">
        <v>26503.360000000001</v>
      </c>
      <c r="AC9" s="245">
        <v>22173.38</v>
      </c>
      <c r="AD9" s="216">
        <f t="shared" si="0"/>
        <v>2.9844210153287417E-2</v>
      </c>
      <c r="AE9" s="213"/>
      <c r="AF9" s="245">
        <v>35139.199999999997</v>
      </c>
      <c r="AG9" s="372">
        <v>35220.800000000003</v>
      </c>
      <c r="AH9" s="245">
        <v>23151.73</v>
      </c>
      <c r="AI9" s="216">
        <f t="shared" si="2"/>
        <v>0.32891829564251485</v>
      </c>
      <c r="AJ9" s="80"/>
      <c r="AK9" s="398">
        <v>32771.199999999997</v>
      </c>
      <c r="AL9" s="398">
        <v>20669.57</v>
      </c>
      <c r="AM9" s="396">
        <f t="shared" si="1"/>
        <v>-6.9549811475037637E-2</v>
      </c>
      <c r="AN9" s="397"/>
      <c r="AO9" s="408">
        <f>'FY20 Payroll Schedule'!J89</f>
        <v>31395</v>
      </c>
      <c r="AP9" s="398">
        <f>AO9-AK9</f>
        <v>-1376.1999999999971</v>
      </c>
      <c r="AQ9" s="396">
        <f>AP9/AK9</f>
        <v>-4.1994190020505723E-2</v>
      </c>
      <c r="AR9" s="288"/>
    </row>
    <row r="10" spans="1:44" x14ac:dyDescent="0.25">
      <c r="A10" s="161" t="s">
        <v>641</v>
      </c>
      <c r="B10" s="309" t="str">
        <f>MID(A10,14,4)</f>
        <v>5137</v>
      </c>
      <c r="C10" s="161" t="s">
        <v>1873</v>
      </c>
      <c r="D10" s="245">
        <v>16777</v>
      </c>
      <c r="E10" s="245">
        <v>18955.79</v>
      </c>
      <c r="F10" s="216"/>
      <c r="G10" s="213"/>
      <c r="H10" s="245">
        <v>19232</v>
      </c>
      <c r="I10" s="245">
        <v>21911.85</v>
      </c>
      <c r="J10" s="216"/>
      <c r="K10" s="213"/>
      <c r="L10" s="245">
        <v>20482.080000000002</v>
      </c>
      <c r="M10" s="245">
        <v>14272.26</v>
      </c>
      <c r="N10" s="216"/>
      <c r="O10" s="213"/>
      <c r="P10" s="245">
        <v>22363</v>
      </c>
      <c r="Q10" s="245">
        <v>12952.68</v>
      </c>
      <c r="R10" s="216"/>
      <c r="S10" s="213"/>
      <c r="T10" s="245">
        <v>21500</v>
      </c>
      <c r="U10" s="245">
        <v>13025.35</v>
      </c>
      <c r="V10" s="216"/>
      <c r="W10" s="213"/>
      <c r="X10" s="245">
        <v>15103.27</v>
      </c>
      <c r="Y10" s="245">
        <v>11820.44</v>
      </c>
      <c r="Z10" s="216">
        <v>-0.29752232558139535</v>
      </c>
      <c r="AA10" s="213"/>
      <c r="AB10" s="245">
        <v>15958</v>
      </c>
      <c r="AC10" s="245">
        <v>6082.63</v>
      </c>
      <c r="AD10" s="216">
        <f t="shared" si="0"/>
        <v>5.6592380325585091E-2</v>
      </c>
      <c r="AE10" s="213"/>
      <c r="AF10" s="245">
        <v>16473.599999999999</v>
      </c>
      <c r="AG10" s="372">
        <v>16497.599999999999</v>
      </c>
      <c r="AH10" s="245">
        <v>7756.8</v>
      </c>
      <c r="AI10" s="216">
        <f t="shared" si="2"/>
        <v>3.381376112294765E-2</v>
      </c>
      <c r="AJ10" s="80"/>
      <c r="AK10" s="398">
        <v>11973.6</v>
      </c>
      <c r="AL10" s="398">
        <v>7705.37</v>
      </c>
      <c r="AM10" s="396">
        <f t="shared" si="1"/>
        <v>-0.27422170497526904</v>
      </c>
      <c r="AN10" s="397"/>
      <c r="AO10" s="408">
        <f>'FY20 Payroll Schedule'!J91</f>
        <v>10710</v>
      </c>
      <c r="AP10" s="398">
        <f>AO10-AK10</f>
        <v>-1263.6000000000004</v>
      </c>
      <c r="AQ10" s="396">
        <f>AP10/AK10</f>
        <v>-0.10553217077570658</v>
      </c>
      <c r="AR10" s="288"/>
    </row>
    <row r="11" spans="1:44" s="114" customFormat="1" x14ac:dyDescent="0.25">
      <c r="A11" s="224"/>
      <c r="B11" s="310"/>
      <c r="C11" s="224" t="s">
        <v>26</v>
      </c>
      <c r="D11" s="225">
        <f>SUM(D6:D10)</f>
        <v>103284</v>
      </c>
      <c r="E11" s="225">
        <f>SUM(E6:E10)</f>
        <v>93686.399999999994</v>
      </c>
      <c r="F11" s="226">
        <v>6.9400000000000003E-2</v>
      </c>
      <c r="G11" s="224"/>
      <c r="H11" s="225">
        <f>SUM(H6:H10)</f>
        <v>94775</v>
      </c>
      <c r="I11" s="225">
        <f>SUM(I6:I10)</f>
        <v>96741.079999999987</v>
      </c>
      <c r="J11" s="226">
        <v>6.9400000000000003E-2</v>
      </c>
      <c r="K11" s="224"/>
      <c r="L11" s="225">
        <f>SUM(L6:L10)</f>
        <v>101353.06</v>
      </c>
      <c r="M11" s="225">
        <f>SUM(M6:M10)</f>
        <v>91512.999999999985</v>
      </c>
      <c r="N11" s="226">
        <v>6.9400000000000003E-2</v>
      </c>
      <c r="O11" s="224"/>
      <c r="P11" s="225">
        <f>SUM(P6:P10)</f>
        <v>114598.12</v>
      </c>
      <c r="Q11" s="225">
        <f>SUM(Q6:Q10)</f>
        <v>102482.63</v>
      </c>
      <c r="R11" s="226">
        <v>6.9400000000000003E-2</v>
      </c>
      <c r="S11" s="224"/>
      <c r="T11" s="225">
        <f>SUM(T6:T10)</f>
        <v>108370.91999999998</v>
      </c>
      <c r="U11" s="225">
        <f>SUM(U6:U10)</f>
        <v>106789.72</v>
      </c>
      <c r="V11" s="226">
        <v>6.9400000000000003E-2</v>
      </c>
      <c r="W11" s="224"/>
      <c r="X11" s="225">
        <f>SUM(X6:X10)</f>
        <v>120129.4</v>
      </c>
      <c r="Y11" s="225">
        <f>SUM(Y6:Y10)</f>
        <v>115590.11</v>
      </c>
      <c r="Z11" s="226">
        <f>(X11-T11)/T11</f>
        <v>0.10850217013936961</v>
      </c>
      <c r="AA11" s="224"/>
      <c r="AB11" s="225">
        <f>SUM(AB6:AB10)</f>
        <v>122905.37000000001</v>
      </c>
      <c r="AC11" s="225">
        <f>SUM(AC6:AC10)</f>
        <v>108394.57</v>
      </c>
      <c r="AD11" s="247">
        <f t="shared" si="0"/>
        <v>2.3108165028710839E-2</v>
      </c>
      <c r="AE11" s="224"/>
      <c r="AF11" s="225">
        <f>SUM(AF6:AF10)</f>
        <v>134277.28999999998</v>
      </c>
      <c r="AG11" s="378">
        <f>SUM(AG6:AG10)</f>
        <v>140763.25</v>
      </c>
      <c r="AH11" s="225">
        <f>SUM(AH6:AH10)</f>
        <v>118320.03</v>
      </c>
      <c r="AI11" s="247">
        <f t="shared" si="2"/>
        <v>0.14529780106434723</v>
      </c>
      <c r="AJ11" s="226"/>
      <c r="AK11" s="225">
        <f>SUM(AK6:AK10)</f>
        <v>135404.62</v>
      </c>
      <c r="AL11" s="225">
        <f>SUM(AL6:AL10)</f>
        <v>74788.419999999984</v>
      </c>
      <c r="AM11" s="247">
        <f t="shared" si="1"/>
        <v>-3.8068387878228194E-2</v>
      </c>
      <c r="AN11" s="224"/>
      <c r="AO11" s="227">
        <f>SUM(AO6:AO10)</f>
        <v>135679.19999999998</v>
      </c>
      <c r="AP11" s="227">
        <f>SUM(AP6:AP10)</f>
        <v>274.57999999999083</v>
      </c>
      <c r="AQ11" s="385">
        <f>AP11/AG11</f>
        <v>1.9506511820378603E-3</v>
      </c>
      <c r="AR11" s="224"/>
    </row>
    <row r="12" spans="1:44" x14ac:dyDescent="0.25">
      <c r="D12" s="112"/>
      <c r="E12" s="112"/>
      <c r="H12" s="112"/>
      <c r="I12" s="112"/>
      <c r="L12" s="112"/>
      <c r="M12" s="112"/>
      <c r="P12" s="112"/>
      <c r="Q12" s="112"/>
      <c r="T12" s="112"/>
      <c r="U12" s="112"/>
      <c r="X12" s="112"/>
      <c r="Y12" s="112"/>
      <c r="AB12" s="112"/>
      <c r="AC12" s="112"/>
      <c r="AF12" s="112"/>
      <c r="AG12" s="112"/>
      <c r="AH12" s="112"/>
      <c r="AK12" s="112"/>
      <c r="AL12" s="112"/>
      <c r="AP12" s="245">
        <f>AO12-AG12</f>
        <v>0</v>
      </c>
      <c r="AQ12" s="216"/>
    </row>
    <row r="13" spans="1:44" x14ac:dyDescent="0.25">
      <c r="C13" s="111" t="s">
        <v>277</v>
      </c>
      <c r="D13" s="112"/>
      <c r="E13" s="112"/>
      <c r="H13" s="112"/>
      <c r="I13" s="112"/>
      <c r="L13" s="112"/>
      <c r="M13" s="112"/>
      <c r="P13" s="112"/>
      <c r="Q13" s="112"/>
      <c r="T13" s="112"/>
      <c r="U13" s="112"/>
      <c r="X13" s="112"/>
      <c r="Y13" s="112"/>
      <c r="AB13" s="112"/>
      <c r="AC13" s="112"/>
      <c r="AF13" s="112"/>
      <c r="AG13" s="112"/>
      <c r="AH13" s="112"/>
      <c r="AK13" s="112"/>
      <c r="AL13" s="112"/>
      <c r="AP13" s="245">
        <f>AO13-AG13</f>
        <v>0</v>
      </c>
      <c r="AQ13" s="216"/>
      <c r="AR13" s="111"/>
    </row>
    <row r="14" spans="1:44" s="211" customFormat="1" x14ac:dyDescent="0.25">
      <c r="A14" s="211" t="s">
        <v>642</v>
      </c>
      <c r="B14" s="309" t="str">
        <f t="shared" ref="B14:B44" si="3">MID(A14,14,4)</f>
        <v>5210</v>
      </c>
      <c r="C14" s="211" t="s">
        <v>1626</v>
      </c>
      <c r="D14" s="245">
        <v>10000</v>
      </c>
      <c r="E14" s="245">
        <v>8011.17</v>
      </c>
      <c r="F14" s="216"/>
      <c r="G14" s="213"/>
      <c r="H14" s="245">
        <v>10000</v>
      </c>
      <c r="I14" s="245">
        <v>11378.49</v>
      </c>
      <c r="J14" s="216"/>
      <c r="K14" s="213"/>
      <c r="L14" s="245">
        <v>9000</v>
      </c>
      <c r="M14" s="245">
        <v>10519.61</v>
      </c>
      <c r="N14" s="216"/>
      <c r="O14" s="213"/>
      <c r="P14" s="245">
        <v>11000</v>
      </c>
      <c r="Q14" s="245">
        <v>10814.39</v>
      </c>
      <c r="R14" s="216"/>
      <c r="S14" s="213"/>
      <c r="T14" s="245">
        <v>11000</v>
      </c>
      <c r="U14" s="245">
        <v>8401.56</v>
      </c>
      <c r="V14" s="216"/>
      <c r="W14" s="213"/>
      <c r="X14" s="245">
        <v>11000</v>
      </c>
      <c r="Y14" s="245">
        <v>7466.27</v>
      </c>
      <c r="Z14" s="216">
        <v>0</v>
      </c>
      <c r="AA14" s="213"/>
      <c r="AB14" s="245">
        <v>11000</v>
      </c>
      <c r="AC14" s="245">
        <v>438.32</v>
      </c>
      <c r="AD14" s="216">
        <f t="shared" ref="AD14:AD44" si="4">(AB14-X14)/X14</f>
        <v>0</v>
      </c>
      <c r="AE14" s="213"/>
      <c r="AF14" s="245">
        <v>11000</v>
      </c>
      <c r="AG14" s="372">
        <v>11000</v>
      </c>
      <c r="AH14" s="245">
        <v>6350.39</v>
      </c>
      <c r="AI14" s="216">
        <f t="shared" si="2"/>
        <v>0</v>
      </c>
      <c r="AJ14" s="216"/>
      <c r="AK14" s="398">
        <v>11000</v>
      </c>
      <c r="AL14" s="398">
        <v>7194.82</v>
      </c>
      <c r="AM14" s="396">
        <f>(AK14-AG14)/AG14</f>
        <v>0</v>
      </c>
      <c r="AN14" s="397"/>
      <c r="AO14" s="157">
        <v>11000</v>
      </c>
      <c r="AP14" s="398">
        <f t="shared" ref="AP14:AP44" si="5">AO14-AK14</f>
        <v>0</v>
      </c>
      <c r="AQ14" s="396">
        <f t="shared" ref="AQ14:AQ43" si="6">AP14/AK14</f>
        <v>0</v>
      </c>
      <c r="AR14" s="289" t="s">
        <v>1283</v>
      </c>
    </row>
    <row r="15" spans="1:44" s="211" customFormat="1" x14ac:dyDescent="0.25">
      <c r="A15" s="211" t="s">
        <v>643</v>
      </c>
      <c r="B15" s="309" t="str">
        <f t="shared" si="3"/>
        <v>5230</v>
      </c>
      <c r="C15" s="211" t="s">
        <v>1780</v>
      </c>
      <c r="D15" s="245">
        <v>12000</v>
      </c>
      <c r="E15" s="245">
        <v>9075</v>
      </c>
      <c r="F15" s="216"/>
      <c r="G15" s="213"/>
      <c r="H15" s="245">
        <v>12000</v>
      </c>
      <c r="I15" s="245">
        <v>9000</v>
      </c>
      <c r="J15" s="216"/>
      <c r="K15" s="213"/>
      <c r="L15" s="245">
        <v>9000</v>
      </c>
      <c r="M15" s="245">
        <v>8150</v>
      </c>
      <c r="N15" s="216"/>
      <c r="O15" s="213"/>
      <c r="P15" s="245">
        <v>9000</v>
      </c>
      <c r="Q15" s="245">
        <v>8778.4</v>
      </c>
      <c r="R15" s="216"/>
      <c r="S15" s="213"/>
      <c r="T15" s="245">
        <v>9000</v>
      </c>
      <c r="U15" s="245">
        <v>8012.28</v>
      </c>
      <c r="V15" s="216"/>
      <c r="W15" s="213"/>
      <c r="X15" s="245">
        <v>9000</v>
      </c>
      <c r="Y15" s="245">
        <v>1134.98</v>
      </c>
      <c r="Z15" s="216">
        <v>0</v>
      </c>
      <c r="AA15" s="213"/>
      <c r="AB15" s="245">
        <v>9000</v>
      </c>
      <c r="AC15" s="245">
        <v>7350</v>
      </c>
      <c r="AD15" s="216">
        <f t="shared" si="4"/>
        <v>0</v>
      </c>
      <c r="AE15" s="213"/>
      <c r="AF15" s="245">
        <v>9000</v>
      </c>
      <c r="AG15" s="372">
        <v>9000</v>
      </c>
      <c r="AH15" s="245">
        <v>7350</v>
      </c>
      <c r="AI15" s="216">
        <f t="shared" si="2"/>
        <v>0</v>
      </c>
      <c r="AJ15" s="216"/>
      <c r="AK15" s="398">
        <v>9000</v>
      </c>
      <c r="AL15" s="398">
        <v>9145.5</v>
      </c>
      <c r="AM15" s="396">
        <f>(AK15-AG15)/AG15</f>
        <v>0</v>
      </c>
      <c r="AN15" s="397"/>
      <c r="AO15" s="157">
        <v>9000</v>
      </c>
      <c r="AP15" s="398">
        <f t="shared" si="5"/>
        <v>0</v>
      </c>
      <c r="AQ15" s="396">
        <f t="shared" si="6"/>
        <v>0</v>
      </c>
      <c r="AR15" s="289" t="s">
        <v>1323</v>
      </c>
    </row>
    <row r="16" spans="1:44" s="211" customFormat="1" x14ac:dyDescent="0.25">
      <c r="A16" s="211" t="s">
        <v>1277</v>
      </c>
      <c r="B16" s="309" t="str">
        <f>MID(A16,14,4)</f>
        <v>5240</v>
      </c>
      <c r="C16" s="211" t="s">
        <v>1874</v>
      </c>
      <c r="D16" s="245">
        <v>0</v>
      </c>
      <c r="E16" s="245">
        <v>0</v>
      </c>
      <c r="F16" s="216"/>
      <c r="G16" s="213"/>
      <c r="H16" s="245">
        <v>0</v>
      </c>
      <c r="I16" s="245">
        <v>0</v>
      </c>
      <c r="J16" s="216"/>
      <c r="K16" s="213"/>
      <c r="L16" s="245">
        <v>0</v>
      </c>
      <c r="M16" s="245">
        <v>0</v>
      </c>
      <c r="N16" s="216"/>
      <c r="O16" s="213"/>
      <c r="P16" s="245">
        <v>0</v>
      </c>
      <c r="Q16" s="245">
        <v>0</v>
      </c>
      <c r="R16" s="216"/>
      <c r="S16" s="213"/>
      <c r="T16" s="245">
        <v>0</v>
      </c>
      <c r="U16" s="245">
        <v>0</v>
      </c>
      <c r="V16" s="216"/>
      <c r="W16" s="213"/>
      <c r="X16" s="245">
        <v>0</v>
      </c>
      <c r="Y16" s="245">
        <v>0</v>
      </c>
      <c r="Z16" s="216" t="e">
        <v>#DIV/0!</v>
      </c>
      <c r="AA16" s="213"/>
      <c r="AB16" s="245">
        <v>0</v>
      </c>
      <c r="AC16" s="245">
        <v>19950</v>
      </c>
      <c r="AD16" s="216" t="e">
        <f t="shared" si="4"/>
        <v>#DIV/0!</v>
      </c>
      <c r="AE16" s="213"/>
      <c r="AF16" s="245">
        <v>30000</v>
      </c>
      <c r="AG16" s="372">
        <v>30000</v>
      </c>
      <c r="AH16" s="245">
        <v>26800</v>
      </c>
      <c r="AI16" s="216" t="e">
        <f t="shared" si="2"/>
        <v>#DIV/0!</v>
      </c>
      <c r="AJ16" s="216"/>
      <c r="AK16" s="398">
        <v>30000</v>
      </c>
      <c r="AL16" s="398">
        <v>0</v>
      </c>
      <c r="AM16" s="396">
        <f>(AK16-AG16)/AG16</f>
        <v>0</v>
      </c>
      <c r="AN16" s="397"/>
      <c r="AO16" s="157">
        <v>30000</v>
      </c>
      <c r="AP16" s="398">
        <f t="shared" si="5"/>
        <v>0</v>
      </c>
      <c r="AQ16" s="396">
        <f>AP16/AK16</f>
        <v>0</v>
      </c>
      <c r="AR16" s="289" t="s">
        <v>1287</v>
      </c>
    </row>
    <row r="17" spans="1:44" s="394" customFormat="1" x14ac:dyDescent="0.25">
      <c r="A17" s="395" t="s">
        <v>1489</v>
      </c>
      <c r="B17" s="309" t="str">
        <f>MID(A17,14,4)</f>
        <v>5241</v>
      </c>
      <c r="C17" s="394" t="s">
        <v>1490</v>
      </c>
      <c r="D17" s="398">
        <v>0</v>
      </c>
      <c r="E17" s="398">
        <v>0</v>
      </c>
      <c r="F17" s="396"/>
      <c r="G17" s="397"/>
      <c r="H17" s="398">
        <v>0</v>
      </c>
      <c r="I17" s="398">
        <v>0</v>
      </c>
      <c r="J17" s="396"/>
      <c r="K17" s="397"/>
      <c r="L17" s="398">
        <v>0</v>
      </c>
      <c r="M17" s="398">
        <v>0</v>
      </c>
      <c r="N17" s="396"/>
      <c r="O17" s="397"/>
      <c r="P17" s="398">
        <v>0</v>
      </c>
      <c r="Q17" s="398">
        <v>0</v>
      </c>
      <c r="R17" s="396"/>
      <c r="S17" s="397"/>
      <c r="T17" s="398">
        <v>0</v>
      </c>
      <c r="U17" s="398">
        <v>0</v>
      </c>
      <c r="V17" s="396"/>
      <c r="W17" s="397"/>
      <c r="X17" s="398">
        <v>0</v>
      </c>
      <c r="Y17" s="398">
        <v>0</v>
      </c>
      <c r="Z17" s="396" t="e">
        <v>#DIV/0!</v>
      </c>
      <c r="AA17" s="397"/>
      <c r="AB17" s="398"/>
      <c r="AC17" s="398"/>
      <c r="AD17" s="396"/>
      <c r="AE17" s="397"/>
      <c r="AF17" s="398"/>
      <c r="AG17" s="372"/>
      <c r="AH17" s="398">
        <v>30.3</v>
      </c>
      <c r="AI17" s="396"/>
      <c r="AJ17" s="396"/>
      <c r="AK17" s="398"/>
      <c r="AL17" s="398"/>
      <c r="AM17" s="396"/>
      <c r="AN17" s="397"/>
      <c r="AO17" s="157"/>
      <c r="AP17" s="398">
        <f t="shared" si="5"/>
        <v>0</v>
      </c>
      <c r="AQ17" s="396"/>
      <c r="AR17" s="289"/>
    </row>
    <row r="18" spans="1:44" s="211" customFormat="1" x14ac:dyDescent="0.25">
      <c r="A18" s="211" t="s">
        <v>644</v>
      </c>
      <c r="B18" s="309" t="str">
        <f t="shared" si="3"/>
        <v>5242</v>
      </c>
      <c r="C18" s="211" t="s">
        <v>1487</v>
      </c>
      <c r="D18" s="245">
        <v>8500</v>
      </c>
      <c r="E18" s="245">
        <v>11693.69</v>
      </c>
      <c r="F18" s="216"/>
      <c r="G18" s="213"/>
      <c r="H18" s="245">
        <v>14500</v>
      </c>
      <c r="I18" s="245">
        <v>28041.75</v>
      </c>
      <c r="J18" s="216"/>
      <c r="K18" s="213"/>
      <c r="L18" s="245">
        <v>15000</v>
      </c>
      <c r="M18" s="245">
        <v>11443.7</v>
      </c>
      <c r="N18" s="216"/>
      <c r="O18" s="213"/>
      <c r="P18" s="245">
        <v>15000</v>
      </c>
      <c r="Q18" s="245">
        <v>14034.32</v>
      </c>
      <c r="R18" s="216"/>
      <c r="S18" s="213"/>
      <c r="T18" s="245">
        <v>15000</v>
      </c>
      <c r="U18" s="245">
        <v>20698.16</v>
      </c>
      <c r="V18" s="216"/>
      <c r="W18" s="213"/>
      <c r="X18" s="245">
        <v>20000</v>
      </c>
      <c r="Y18" s="245">
        <v>18392.349999999999</v>
      </c>
      <c r="Z18" s="216">
        <v>0.33333333333333331</v>
      </c>
      <c r="AA18" s="213"/>
      <c r="AB18" s="245">
        <v>26000</v>
      </c>
      <c r="AC18" s="245">
        <v>8177.03</v>
      </c>
      <c r="AD18" s="216">
        <f t="shared" si="4"/>
        <v>0.3</v>
      </c>
      <c r="AE18" s="213"/>
      <c r="AF18" s="245">
        <v>16000</v>
      </c>
      <c r="AG18" s="372">
        <v>16000</v>
      </c>
      <c r="AH18" s="245">
        <v>29677.89</v>
      </c>
      <c r="AI18" s="216">
        <f t="shared" si="2"/>
        <v>-0.38461538461538464</v>
      </c>
      <c r="AJ18" s="216"/>
      <c r="AK18" s="398">
        <v>16000</v>
      </c>
      <c r="AL18" s="398">
        <v>8530.9500000000007</v>
      </c>
      <c r="AM18" s="396">
        <f t="shared" ref="AM18:AM33" si="7">(AK18-AG18)/AG18</f>
        <v>0</v>
      </c>
      <c r="AN18" s="397"/>
      <c r="AO18" s="157">
        <v>16000</v>
      </c>
      <c r="AP18" s="398">
        <f t="shared" si="5"/>
        <v>0</v>
      </c>
      <c r="AQ18" s="396">
        <f t="shared" si="6"/>
        <v>0</v>
      </c>
      <c r="AR18" s="289" t="s">
        <v>1288</v>
      </c>
    </row>
    <row r="19" spans="1:44" s="211" customFormat="1" x14ac:dyDescent="0.25">
      <c r="A19" s="211" t="s">
        <v>645</v>
      </c>
      <c r="B19" s="309" t="str">
        <f t="shared" si="3"/>
        <v>5245</v>
      </c>
      <c r="C19" s="211" t="s">
        <v>1633</v>
      </c>
      <c r="D19" s="245">
        <v>500</v>
      </c>
      <c r="E19" s="245">
        <v>322.17</v>
      </c>
      <c r="F19" s="216"/>
      <c r="G19" s="213"/>
      <c r="H19" s="245">
        <v>500</v>
      </c>
      <c r="I19" s="245">
        <v>559.96</v>
      </c>
      <c r="J19" s="216"/>
      <c r="K19" s="213"/>
      <c r="L19" s="245">
        <v>1000</v>
      </c>
      <c r="M19" s="245">
        <v>1415.84</v>
      </c>
      <c r="N19" s="216"/>
      <c r="O19" s="213"/>
      <c r="P19" s="245">
        <v>500</v>
      </c>
      <c r="Q19" s="245">
        <v>581.55999999999995</v>
      </c>
      <c r="R19" s="216"/>
      <c r="S19" s="213"/>
      <c r="T19" s="245">
        <v>1000</v>
      </c>
      <c r="U19" s="245">
        <v>2366.1799999999998</v>
      </c>
      <c r="V19" s="216"/>
      <c r="W19" s="213"/>
      <c r="X19" s="245">
        <v>1000</v>
      </c>
      <c r="Y19" s="245">
        <v>1743.54</v>
      </c>
      <c r="Z19" s="216">
        <v>0</v>
      </c>
      <c r="AA19" s="213"/>
      <c r="AB19" s="245">
        <v>1000</v>
      </c>
      <c r="AC19" s="245">
        <v>2680</v>
      </c>
      <c r="AD19" s="216">
        <f t="shared" si="4"/>
        <v>0</v>
      </c>
      <c r="AE19" s="213"/>
      <c r="AF19" s="245">
        <v>1000</v>
      </c>
      <c r="AG19" s="372">
        <v>1000</v>
      </c>
      <c r="AH19" s="245">
        <v>2518.8000000000002</v>
      </c>
      <c r="AI19" s="216">
        <f t="shared" si="2"/>
        <v>0</v>
      </c>
      <c r="AJ19" s="216"/>
      <c r="AK19" s="398">
        <v>1000</v>
      </c>
      <c r="AL19" s="398">
        <v>0</v>
      </c>
      <c r="AM19" s="396">
        <f t="shared" si="7"/>
        <v>0</v>
      </c>
      <c r="AN19" s="397"/>
      <c r="AO19" s="157">
        <v>1000</v>
      </c>
      <c r="AP19" s="398">
        <f t="shared" si="5"/>
        <v>0</v>
      </c>
      <c r="AQ19" s="396">
        <f t="shared" si="6"/>
        <v>0</v>
      </c>
      <c r="AR19" s="289"/>
    </row>
    <row r="20" spans="1:44" s="211" customFormat="1" x14ac:dyDescent="0.25">
      <c r="A20" s="211" t="s">
        <v>646</v>
      </c>
      <c r="B20" s="309" t="str">
        <f t="shared" si="3"/>
        <v>5247</v>
      </c>
      <c r="C20" s="211" t="s">
        <v>1635</v>
      </c>
      <c r="D20" s="245">
        <v>250</v>
      </c>
      <c r="E20" s="245">
        <v>0</v>
      </c>
      <c r="F20" s="216"/>
      <c r="G20" s="213"/>
      <c r="H20" s="245">
        <v>3750</v>
      </c>
      <c r="I20" s="245">
        <v>31.25</v>
      </c>
      <c r="J20" s="216"/>
      <c r="K20" s="213"/>
      <c r="L20" s="245">
        <v>3750</v>
      </c>
      <c r="M20" s="245">
        <v>1225.48</v>
      </c>
      <c r="N20" s="216"/>
      <c r="O20" s="213"/>
      <c r="P20" s="245">
        <v>3750</v>
      </c>
      <c r="Q20" s="245">
        <v>607.48</v>
      </c>
      <c r="R20" s="216"/>
      <c r="S20" s="213"/>
      <c r="T20" s="245">
        <v>3750</v>
      </c>
      <c r="U20" s="245">
        <v>0</v>
      </c>
      <c r="V20" s="216"/>
      <c r="W20" s="213"/>
      <c r="X20" s="245">
        <v>3750</v>
      </c>
      <c r="Y20" s="245">
        <v>1096.25</v>
      </c>
      <c r="Z20" s="216">
        <v>0</v>
      </c>
      <c r="AA20" s="213"/>
      <c r="AB20" s="245">
        <v>3750</v>
      </c>
      <c r="AC20" s="245">
        <v>940</v>
      </c>
      <c r="AD20" s="216">
        <f t="shared" si="4"/>
        <v>0</v>
      </c>
      <c r="AE20" s="213"/>
      <c r="AF20" s="245">
        <v>2250</v>
      </c>
      <c r="AG20" s="372">
        <v>2250</v>
      </c>
      <c r="AH20" s="245">
        <v>2715.78</v>
      </c>
      <c r="AI20" s="216">
        <f t="shared" si="2"/>
        <v>-0.4</v>
      </c>
      <c r="AJ20" s="216"/>
      <c r="AK20" s="398">
        <v>2250</v>
      </c>
      <c r="AL20" s="398">
        <v>62.5</v>
      </c>
      <c r="AM20" s="396">
        <f t="shared" si="7"/>
        <v>0</v>
      </c>
      <c r="AN20" s="397"/>
      <c r="AO20" s="157">
        <v>2250</v>
      </c>
      <c r="AP20" s="398">
        <f t="shared" si="5"/>
        <v>0</v>
      </c>
      <c r="AQ20" s="396">
        <f t="shared" si="6"/>
        <v>0</v>
      </c>
      <c r="AR20" s="289"/>
    </row>
    <row r="21" spans="1:44" s="211" customFormat="1" x14ac:dyDescent="0.25">
      <c r="A21" s="211" t="s">
        <v>647</v>
      </c>
      <c r="B21" s="309" t="str">
        <f t="shared" si="3"/>
        <v>5251</v>
      </c>
      <c r="C21" s="211" t="s">
        <v>1682</v>
      </c>
      <c r="D21" s="245">
        <v>350</v>
      </c>
      <c r="E21" s="245">
        <v>191.98</v>
      </c>
      <c r="F21" s="216"/>
      <c r="G21" s="213"/>
      <c r="H21" s="245">
        <v>350</v>
      </c>
      <c r="I21" s="245">
        <v>0</v>
      </c>
      <c r="J21" s="216"/>
      <c r="K21" s="213"/>
      <c r="L21" s="245">
        <v>350</v>
      </c>
      <c r="M21" s="245">
        <v>0</v>
      </c>
      <c r="N21" s="216"/>
      <c r="O21" s="213"/>
      <c r="P21" s="245">
        <v>350</v>
      </c>
      <c r="Q21" s="245">
        <v>76.569999999999993</v>
      </c>
      <c r="R21" s="216"/>
      <c r="S21" s="213"/>
      <c r="T21" s="245">
        <v>350</v>
      </c>
      <c r="U21" s="245">
        <v>0</v>
      </c>
      <c r="V21" s="216"/>
      <c r="W21" s="213"/>
      <c r="X21" s="245">
        <v>350</v>
      </c>
      <c r="Y21" s="245">
        <v>112.98</v>
      </c>
      <c r="Z21" s="216">
        <v>0</v>
      </c>
      <c r="AA21" s="213"/>
      <c r="AB21" s="245">
        <v>350</v>
      </c>
      <c r="AC21" s="245">
        <v>301.10000000000002</v>
      </c>
      <c r="AD21" s="216">
        <f t="shared" si="4"/>
        <v>0</v>
      </c>
      <c r="AE21" s="213"/>
      <c r="AF21" s="245">
        <v>350</v>
      </c>
      <c r="AG21" s="372">
        <v>350</v>
      </c>
      <c r="AH21" s="245">
        <v>352.52</v>
      </c>
      <c r="AI21" s="216">
        <f t="shared" si="2"/>
        <v>0</v>
      </c>
      <c r="AJ21" s="216"/>
      <c r="AK21" s="398">
        <v>350</v>
      </c>
      <c r="AL21" s="398">
        <v>0</v>
      </c>
      <c r="AM21" s="396">
        <f t="shared" si="7"/>
        <v>0</v>
      </c>
      <c r="AN21" s="397"/>
      <c r="AO21" s="157">
        <v>350</v>
      </c>
      <c r="AP21" s="398">
        <f t="shared" si="5"/>
        <v>0</v>
      </c>
      <c r="AQ21" s="396">
        <f t="shared" si="6"/>
        <v>0</v>
      </c>
      <c r="AR21" s="289"/>
    </row>
    <row r="22" spans="1:44" s="211" customFormat="1" x14ac:dyDescent="0.25">
      <c r="A22" s="211" t="s">
        <v>648</v>
      </c>
      <c r="B22" s="309" t="str">
        <f t="shared" si="3"/>
        <v>5260</v>
      </c>
      <c r="C22" s="211" t="s">
        <v>1875</v>
      </c>
      <c r="D22" s="245">
        <v>3000</v>
      </c>
      <c r="E22" s="245">
        <v>0</v>
      </c>
      <c r="F22" s="216"/>
      <c r="G22" s="213"/>
      <c r="H22" s="245">
        <v>3000</v>
      </c>
      <c r="I22" s="245">
        <v>45.11</v>
      </c>
      <c r="J22" s="216"/>
      <c r="K22" s="213"/>
      <c r="L22" s="245">
        <v>3000</v>
      </c>
      <c r="M22" s="245">
        <v>2942.62</v>
      </c>
      <c r="N22" s="216"/>
      <c r="O22" s="213"/>
      <c r="P22" s="245">
        <v>3000</v>
      </c>
      <c r="Q22" s="245">
        <v>4736.8900000000003</v>
      </c>
      <c r="R22" s="216"/>
      <c r="S22" s="213"/>
      <c r="T22" s="245">
        <v>3000</v>
      </c>
      <c r="U22" s="245">
        <v>2328.75</v>
      </c>
      <c r="V22" s="216"/>
      <c r="W22" s="213"/>
      <c r="X22" s="245">
        <v>3500</v>
      </c>
      <c r="Y22" s="245">
        <v>4946.95</v>
      </c>
      <c r="Z22" s="216">
        <v>0.16666666666666666</v>
      </c>
      <c r="AA22" s="213"/>
      <c r="AB22" s="245">
        <v>5000</v>
      </c>
      <c r="AC22" s="245">
        <v>5562.38</v>
      </c>
      <c r="AD22" s="216">
        <f t="shared" si="4"/>
        <v>0.42857142857142855</v>
      </c>
      <c r="AE22" s="213"/>
      <c r="AF22" s="245">
        <v>5500</v>
      </c>
      <c r="AG22" s="372">
        <v>5500</v>
      </c>
      <c r="AH22" s="245">
        <v>3965.56</v>
      </c>
      <c r="AI22" s="216">
        <f t="shared" si="2"/>
        <v>0.1</v>
      </c>
      <c r="AJ22" s="216"/>
      <c r="AK22" s="398">
        <v>5500</v>
      </c>
      <c r="AL22" s="398">
        <v>108.09</v>
      </c>
      <c r="AM22" s="396">
        <f t="shared" si="7"/>
        <v>0</v>
      </c>
      <c r="AN22" s="397"/>
      <c r="AO22" s="157">
        <v>5500</v>
      </c>
      <c r="AP22" s="398">
        <f t="shared" si="5"/>
        <v>0</v>
      </c>
      <c r="AQ22" s="396">
        <f t="shared" si="6"/>
        <v>0</v>
      </c>
      <c r="AR22" s="289" t="s">
        <v>1284</v>
      </c>
    </row>
    <row r="23" spans="1:44" s="211" customFormat="1" x14ac:dyDescent="0.25">
      <c r="A23" s="211" t="s">
        <v>649</v>
      </c>
      <c r="B23" s="309" t="str">
        <f t="shared" si="3"/>
        <v>5293</v>
      </c>
      <c r="C23" s="211" t="s">
        <v>1497</v>
      </c>
      <c r="D23" s="245">
        <v>500</v>
      </c>
      <c r="E23" s="245">
        <v>0</v>
      </c>
      <c r="F23" s="216"/>
      <c r="G23" s="213"/>
      <c r="H23" s="245">
        <v>500</v>
      </c>
      <c r="I23" s="245">
        <v>1300</v>
      </c>
      <c r="J23" s="216"/>
      <c r="K23" s="213"/>
      <c r="L23" s="245">
        <v>500</v>
      </c>
      <c r="M23" s="245">
        <v>0</v>
      </c>
      <c r="N23" s="216"/>
      <c r="O23" s="213"/>
      <c r="P23" s="245">
        <v>500</v>
      </c>
      <c r="Q23" s="245">
        <v>510</v>
      </c>
      <c r="R23" s="216"/>
      <c r="S23" s="213"/>
      <c r="T23" s="245">
        <v>500</v>
      </c>
      <c r="U23" s="245">
        <v>500</v>
      </c>
      <c r="V23" s="216"/>
      <c r="W23" s="213"/>
      <c r="X23" s="245">
        <v>500</v>
      </c>
      <c r="Y23" s="245">
        <v>512.54999999999995</v>
      </c>
      <c r="Z23" s="216">
        <v>0</v>
      </c>
      <c r="AA23" s="213"/>
      <c r="AB23" s="245">
        <v>500</v>
      </c>
      <c r="AC23" s="245">
        <v>0</v>
      </c>
      <c r="AD23" s="216">
        <f t="shared" si="4"/>
        <v>0</v>
      </c>
      <c r="AE23" s="213"/>
      <c r="AF23" s="245">
        <v>500</v>
      </c>
      <c r="AG23" s="372">
        <v>500</v>
      </c>
      <c r="AH23" s="245">
        <v>0</v>
      </c>
      <c r="AI23" s="216">
        <f t="shared" si="2"/>
        <v>0</v>
      </c>
      <c r="AJ23" s="216"/>
      <c r="AK23" s="398">
        <v>500</v>
      </c>
      <c r="AL23" s="398">
        <v>0</v>
      </c>
      <c r="AM23" s="396">
        <f t="shared" si="7"/>
        <v>0</v>
      </c>
      <c r="AN23" s="397"/>
      <c r="AO23" s="157">
        <v>500</v>
      </c>
      <c r="AP23" s="398">
        <f t="shared" si="5"/>
        <v>0</v>
      </c>
      <c r="AQ23" s="396">
        <f t="shared" si="6"/>
        <v>0</v>
      </c>
      <c r="AR23" s="289"/>
    </row>
    <row r="24" spans="1:44" s="211" customFormat="1" x14ac:dyDescent="0.25">
      <c r="A24" s="211" t="s">
        <v>650</v>
      </c>
      <c r="B24" s="309" t="str">
        <f t="shared" si="3"/>
        <v>5295</v>
      </c>
      <c r="C24" s="211" t="s">
        <v>1672</v>
      </c>
      <c r="D24" s="245">
        <v>500</v>
      </c>
      <c r="E24" s="245">
        <v>0</v>
      </c>
      <c r="F24" s="216"/>
      <c r="G24" s="213"/>
      <c r="H24" s="245">
        <v>500</v>
      </c>
      <c r="I24" s="245">
        <v>0</v>
      </c>
      <c r="J24" s="216"/>
      <c r="K24" s="213"/>
      <c r="L24" s="245">
        <v>500</v>
      </c>
      <c r="M24" s="245">
        <v>0</v>
      </c>
      <c r="N24" s="216"/>
      <c r="O24" s="213"/>
      <c r="P24" s="245">
        <v>1000</v>
      </c>
      <c r="Q24" s="245">
        <v>432.76</v>
      </c>
      <c r="R24" s="216"/>
      <c r="S24" s="213"/>
      <c r="T24" s="245">
        <v>1000</v>
      </c>
      <c r="U24" s="245">
        <v>461.9</v>
      </c>
      <c r="V24" s="216"/>
      <c r="W24" s="213"/>
      <c r="X24" s="245">
        <v>1000</v>
      </c>
      <c r="Y24" s="245">
        <v>372</v>
      </c>
      <c r="Z24" s="216">
        <v>0</v>
      </c>
      <c r="AA24" s="213"/>
      <c r="AB24" s="245">
        <v>1000</v>
      </c>
      <c r="AC24" s="245">
        <v>334.4</v>
      </c>
      <c r="AD24" s="216">
        <f t="shared" si="4"/>
        <v>0</v>
      </c>
      <c r="AE24" s="213"/>
      <c r="AF24" s="245">
        <v>1000</v>
      </c>
      <c r="AG24" s="372">
        <v>1000</v>
      </c>
      <c r="AH24" s="245">
        <v>826</v>
      </c>
      <c r="AI24" s="216">
        <f t="shared" si="2"/>
        <v>0</v>
      </c>
      <c r="AJ24" s="216"/>
      <c r="AK24" s="398">
        <v>1000</v>
      </c>
      <c r="AL24" s="398">
        <v>0</v>
      </c>
      <c r="AM24" s="396">
        <f t="shared" si="7"/>
        <v>0</v>
      </c>
      <c r="AN24" s="397"/>
      <c r="AO24" s="157">
        <v>1000</v>
      </c>
      <c r="AP24" s="398">
        <f t="shared" si="5"/>
        <v>0</v>
      </c>
      <c r="AQ24" s="396">
        <f t="shared" si="6"/>
        <v>0</v>
      </c>
      <c r="AR24" s="289"/>
    </row>
    <row r="25" spans="1:44" s="211" customFormat="1" x14ac:dyDescent="0.25">
      <c r="A25" s="211" t="s">
        <v>651</v>
      </c>
      <c r="B25" s="309" t="str">
        <f t="shared" si="3"/>
        <v>5303</v>
      </c>
      <c r="C25" s="211" t="s">
        <v>1495</v>
      </c>
      <c r="D25" s="245">
        <v>100</v>
      </c>
      <c r="E25" s="245">
        <v>0</v>
      </c>
      <c r="F25" s="216"/>
      <c r="G25" s="213"/>
      <c r="H25" s="245">
        <v>100</v>
      </c>
      <c r="I25" s="245">
        <v>0</v>
      </c>
      <c r="J25" s="216"/>
      <c r="K25" s="213"/>
      <c r="L25" s="245">
        <v>100</v>
      </c>
      <c r="M25" s="245">
        <v>0</v>
      </c>
      <c r="N25" s="216"/>
      <c r="O25" s="213"/>
      <c r="P25" s="245">
        <v>1000</v>
      </c>
      <c r="Q25" s="245">
        <v>0</v>
      </c>
      <c r="R25" s="216"/>
      <c r="S25" s="213"/>
      <c r="T25" s="245">
        <v>1000</v>
      </c>
      <c r="U25" s="245">
        <v>0</v>
      </c>
      <c r="V25" s="216"/>
      <c r="W25" s="213"/>
      <c r="X25" s="245">
        <v>1000</v>
      </c>
      <c r="Y25" s="245">
        <v>0</v>
      </c>
      <c r="Z25" s="216">
        <v>0</v>
      </c>
      <c r="AA25" s="213"/>
      <c r="AB25" s="245">
        <v>1000</v>
      </c>
      <c r="AC25" s="245">
        <v>0</v>
      </c>
      <c r="AD25" s="216">
        <f t="shared" si="4"/>
        <v>0</v>
      </c>
      <c r="AE25" s="213"/>
      <c r="AF25" s="245">
        <v>500</v>
      </c>
      <c r="AG25" s="372">
        <v>500</v>
      </c>
      <c r="AH25" s="245">
        <v>0</v>
      </c>
      <c r="AI25" s="216">
        <f t="shared" si="2"/>
        <v>-0.5</v>
      </c>
      <c r="AJ25" s="216"/>
      <c r="AK25" s="398">
        <v>500</v>
      </c>
      <c r="AL25" s="398">
        <v>825</v>
      </c>
      <c r="AM25" s="396">
        <f t="shared" si="7"/>
        <v>0</v>
      </c>
      <c r="AN25" s="397"/>
      <c r="AO25" s="157">
        <v>500</v>
      </c>
      <c r="AP25" s="398">
        <f t="shared" si="5"/>
        <v>0</v>
      </c>
      <c r="AQ25" s="396">
        <f t="shared" si="6"/>
        <v>0</v>
      </c>
      <c r="AR25" s="289"/>
    </row>
    <row r="26" spans="1:44" s="211" customFormat="1" x14ac:dyDescent="0.25">
      <c r="A26" s="211" t="s">
        <v>652</v>
      </c>
      <c r="B26" s="309" t="str">
        <f t="shared" si="3"/>
        <v>5306</v>
      </c>
      <c r="C26" s="211" t="s">
        <v>1599</v>
      </c>
      <c r="D26" s="245">
        <v>100</v>
      </c>
      <c r="E26" s="245">
        <v>86.25</v>
      </c>
      <c r="F26" s="216"/>
      <c r="G26" s="213"/>
      <c r="H26" s="245">
        <v>100</v>
      </c>
      <c r="I26" s="245">
        <v>76.2</v>
      </c>
      <c r="J26" s="216"/>
      <c r="K26" s="213"/>
      <c r="L26" s="245">
        <v>100</v>
      </c>
      <c r="M26" s="245">
        <v>73.7</v>
      </c>
      <c r="N26" s="216"/>
      <c r="O26" s="213"/>
      <c r="P26" s="245">
        <v>100</v>
      </c>
      <c r="Q26" s="245">
        <v>127.75</v>
      </c>
      <c r="R26" s="216"/>
      <c r="S26" s="213"/>
      <c r="T26" s="245">
        <v>100</v>
      </c>
      <c r="U26" s="245">
        <v>0</v>
      </c>
      <c r="V26" s="216"/>
      <c r="W26" s="213"/>
      <c r="X26" s="245">
        <v>100</v>
      </c>
      <c r="Y26" s="245">
        <v>19.25</v>
      </c>
      <c r="Z26" s="216">
        <v>0</v>
      </c>
      <c r="AA26" s="213"/>
      <c r="AB26" s="245">
        <v>100</v>
      </c>
      <c r="AC26" s="245">
        <v>30</v>
      </c>
      <c r="AD26" s="216">
        <f t="shared" si="4"/>
        <v>0</v>
      </c>
      <c r="AE26" s="213"/>
      <c r="AF26" s="245">
        <v>100</v>
      </c>
      <c r="AG26" s="372">
        <v>100</v>
      </c>
      <c r="AH26" s="245">
        <v>47.5</v>
      </c>
      <c r="AI26" s="216">
        <f t="shared" si="2"/>
        <v>0</v>
      </c>
      <c r="AJ26" s="216"/>
      <c r="AK26" s="398">
        <v>100</v>
      </c>
      <c r="AL26" s="398">
        <v>45.5</v>
      </c>
      <c r="AM26" s="396">
        <f t="shared" si="7"/>
        <v>0</v>
      </c>
      <c r="AN26" s="397"/>
      <c r="AO26" s="157">
        <v>100</v>
      </c>
      <c r="AP26" s="398">
        <f t="shared" si="5"/>
        <v>0</v>
      </c>
      <c r="AQ26" s="396">
        <f t="shared" si="6"/>
        <v>0</v>
      </c>
      <c r="AR26" s="289"/>
    </row>
    <row r="27" spans="1:44" s="394" customFormat="1" x14ac:dyDescent="0.25">
      <c r="B27" s="309">
        <v>5315</v>
      </c>
      <c r="C27" s="394" t="s">
        <v>1792</v>
      </c>
      <c r="D27" s="398"/>
      <c r="E27" s="398"/>
      <c r="F27" s="396"/>
      <c r="G27" s="397"/>
      <c r="H27" s="398"/>
      <c r="I27" s="398"/>
      <c r="J27" s="396"/>
      <c r="K27" s="397"/>
      <c r="L27" s="398"/>
      <c r="M27" s="398"/>
      <c r="N27" s="396"/>
      <c r="O27" s="397"/>
      <c r="P27" s="398"/>
      <c r="Q27" s="398"/>
      <c r="R27" s="396"/>
      <c r="S27" s="397"/>
      <c r="T27" s="398"/>
      <c r="U27" s="398"/>
      <c r="V27" s="396"/>
      <c r="W27" s="397"/>
      <c r="X27" s="398"/>
      <c r="Y27" s="398"/>
      <c r="Z27" s="396"/>
      <c r="AA27" s="397"/>
      <c r="AB27" s="398"/>
      <c r="AC27" s="398"/>
      <c r="AD27" s="396"/>
      <c r="AE27" s="397"/>
      <c r="AF27" s="398"/>
      <c r="AG27" s="372"/>
      <c r="AH27" s="398">
        <v>75</v>
      </c>
      <c r="AI27" s="396"/>
      <c r="AJ27" s="396"/>
      <c r="AK27" s="398"/>
      <c r="AL27" s="398"/>
      <c r="AM27" s="396"/>
      <c r="AN27" s="397"/>
      <c r="AO27" s="157"/>
      <c r="AP27" s="398">
        <f t="shared" si="5"/>
        <v>0</v>
      </c>
      <c r="AQ27" s="396"/>
      <c r="AR27" s="289" t="s">
        <v>1877</v>
      </c>
    </row>
    <row r="28" spans="1:44" s="211" customFormat="1" x14ac:dyDescent="0.25">
      <c r="A28" s="211" t="s">
        <v>653</v>
      </c>
      <c r="B28" s="309" t="str">
        <f t="shared" si="3"/>
        <v>5341</v>
      </c>
      <c r="C28" s="211" t="s">
        <v>1640</v>
      </c>
      <c r="D28" s="245">
        <v>600</v>
      </c>
      <c r="E28" s="245">
        <v>420</v>
      </c>
      <c r="F28" s="216"/>
      <c r="G28" s="213"/>
      <c r="H28" s="245">
        <v>600</v>
      </c>
      <c r="I28" s="245">
        <v>0</v>
      </c>
      <c r="J28" s="216"/>
      <c r="K28" s="213"/>
      <c r="L28" s="245">
        <v>600</v>
      </c>
      <c r="M28" s="245">
        <v>55.66</v>
      </c>
      <c r="N28" s="216"/>
      <c r="O28" s="213"/>
      <c r="P28" s="245">
        <v>1000</v>
      </c>
      <c r="Q28" s="245">
        <v>578.85</v>
      </c>
      <c r="R28" s="216"/>
      <c r="S28" s="213"/>
      <c r="T28" s="245">
        <v>1000</v>
      </c>
      <c r="U28" s="245">
        <v>602.45000000000005</v>
      </c>
      <c r="V28" s="216"/>
      <c r="W28" s="213"/>
      <c r="X28" s="245">
        <v>1000</v>
      </c>
      <c r="Y28" s="245">
        <v>561.03</v>
      </c>
      <c r="Z28" s="216">
        <v>0</v>
      </c>
      <c r="AA28" s="213"/>
      <c r="AB28" s="245">
        <v>1000</v>
      </c>
      <c r="AC28" s="245">
        <v>497.01</v>
      </c>
      <c r="AD28" s="216">
        <f t="shared" si="4"/>
        <v>0</v>
      </c>
      <c r="AE28" s="213"/>
      <c r="AF28" s="245">
        <v>600</v>
      </c>
      <c r="AG28" s="372">
        <v>600</v>
      </c>
      <c r="AH28" s="245">
        <v>814.73</v>
      </c>
      <c r="AI28" s="216">
        <f t="shared" si="2"/>
        <v>-0.4</v>
      </c>
      <c r="AJ28" s="216"/>
      <c r="AK28" s="398">
        <v>600</v>
      </c>
      <c r="AL28" s="398">
        <v>292.39999999999998</v>
      </c>
      <c r="AM28" s="396">
        <f t="shared" si="7"/>
        <v>0</v>
      </c>
      <c r="AN28" s="397"/>
      <c r="AO28" s="157">
        <v>600</v>
      </c>
      <c r="AP28" s="398">
        <f t="shared" si="5"/>
        <v>0</v>
      </c>
      <c r="AQ28" s="396">
        <f t="shared" si="6"/>
        <v>0</v>
      </c>
      <c r="AR28" s="289"/>
    </row>
    <row r="29" spans="1:44" s="211" customFormat="1" x14ac:dyDescent="0.25">
      <c r="A29" s="211" t="s">
        <v>654</v>
      </c>
      <c r="B29" s="309" t="str">
        <f t="shared" si="3"/>
        <v>5343</v>
      </c>
      <c r="C29" s="211" t="s">
        <v>1723</v>
      </c>
      <c r="D29" s="245">
        <v>950</v>
      </c>
      <c r="E29" s="245">
        <v>809.96</v>
      </c>
      <c r="F29" s="216"/>
      <c r="G29" s="213"/>
      <c r="H29" s="245">
        <v>950</v>
      </c>
      <c r="I29" s="245">
        <v>812</v>
      </c>
      <c r="J29" s="216"/>
      <c r="K29" s="213"/>
      <c r="L29" s="245">
        <v>950</v>
      </c>
      <c r="M29" s="245">
        <v>953.4</v>
      </c>
      <c r="N29" s="216"/>
      <c r="O29" s="213"/>
      <c r="P29" s="245">
        <v>950</v>
      </c>
      <c r="Q29" s="245">
        <v>827.58</v>
      </c>
      <c r="R29" s="216"/>
      <c r="S29" s="213"/>
      <c r="T29" s="245">
        <v>1000</v>
      </c>
      <c r="U29" s="245">
        <v>829.29</v>
      </c>
      <c r="V29" s="216"/>
      <c r="W29" s="213"/>
      <c r="X29" s="245">
        <v>1000</v>
      </c>
      <c r="Y29" s="245">
        <v>829.81</v>
      </c>
      <c r="Z29" s="216">
        <v>0</v>
      </c>
      <c r="AA29" s="213"/>
      <c r="AB29" s="245">
        <v>1000</v>
      </c>
      <c r="AC29" s="245">
        <v>976.49</v>
      </c>
      <c r="AD29" s="216">
        <f t="shared" si="4"/>
        <v>0</v>
      </c>
      <c r="AE29" s="213"/>
      <c r="AF29" s="245">
        <v>1000</v>
      </c>
      <c r="AG29" s="372">
        <v>1000</v>
      </c>
      <c r="AH29" s="245">
        <v>1453.43</v>
      </c>
      <c r="AI29" s="216">
        <f t="shared" si="2"/>
        <v>0</v>
      </c>
      <c r="AJ29" s="216"/>
      <c r="AK29" s="398">
        <v>1000</v>
      </c>
      <c r="AL29" s="398">
        <v>65</v>
      </c>
      <c r="AM29" s="396">
        <f t="shared" si="7"/>
        <v>0</v>
      </c>
      <c r="AN29" s="397"/>
      <c r="AO29" s="157">
        <v>1000</v>
      </c>
      <c r="AP29" s="398">
        <f t="shared" si="5"/>
        <v>0</v>
      </c>
      <c r="AQ29" s="396">
        <f t="shared" si="6"/>
        <v>0</v>
      </c>
      <c r="AR29" s="289"/>
    </row>
    <row r="30" spans="1:44" s="211" customFormat="1" x14ac:dyDescent="0.25">
      <c r="A30" s="211" t="s">
        <v>655</v>
      </c>
      <c r="B30" s="309" t="str">
        <f t="shared" si="3"/>
        <v>5344</v>
      </c>
      <c r="C30" s="211" t="s">
        <v>1601</v>
      </c>
      <c r="D30" s="245">
        <v>750</v>
      </c>
      <c r="E30" s="245">
        <v>261.77</v>
      </c>
      <c r="F30" s="216"/>
      <c r="G30" s="213"/>
      <c r="H30" s="245">
        <v>750</v>
      </c>
      <c r="I30" s="245">
        <v>209.84</v>
      </c>
      <c r="J30" s="216"/>
      <c r="K30" s="213"/>
      <c r="L30" s="245">
        <v>500</v>
      </c>
      <c r="M30" s="245">
        <v>576.35</v>
      </c>
      <c r="N30" s="216"/>
      <c r="O30" s="213"/>
      <c r="P30" s="245">
        <v>500</v>
      </c>
      <c r="Q30" s="245">
        <v>293.99</v>
      </c>
      <c r="R30" s="216"/>
      <c r="S30" s="213"/>
      <c r="T30" s="245">
        <v>1000</v>
      </c>
      <c r="U30" s="245">
        <v>346.47</v>
      </c>
      <c r="V30" s="216"/>
      <c r="W30" s="213"/>
      <c r="X30" s="245">
        <v>1000</v>
      </c>
      <c r="Y30" s="245">
        <v>317.08</v>
      </c>
      <c r="Z30" s="216">
        <v>0</v>
      </c>
      <c r="AA30" s="213"/>
      <c r="AB30" s="245">
        <v>1000</v>
      </c>
      <c r="AC30" s="245">
        <v>335.29</v>
      </c>
      <c r="AD30" s="216">
        <f t="shared" si="4"/>
        <v>0</v>
      </c>
      <c r="AE30" s="213"/>
      <c r="AF30" s="245">
        <v>400</v>
      </c>
      <c r="AG30" s="372">
        <v>400</v>
      </c>
      <c r="AH30" s="245">
        <v>283.18</v>
      </c>
      <c r="AI30" s="216">
        <f t="shared" si="2"/>
        <v>-0.6</v>
      </c>
      <c r="AJ30" s="216"/>
      <c r="AK30" s="398">
        <v>400</v>
      </c>
      <c r="AL30" s="398">
        <v>13.2</v>
      </c>
      <c r="AM30" s="396">
        <f t="shared" si="7"/>
        <v>0</v>
      </c>
      <c r="AN30" s="397"/>
      <c r="AO30" s="157">
        <v>400</v>
      </c>
      <c r="AP30" s="398">
        <f t="shared" si="5"/>
        <v>0</v>
      </c>
      <c r="AQ30" s="396">
        <f t="shared" si="6"/>
        <v>0</v>
      </c>
      <c r="AR30" s="289"/>
    </row>
    <row r="31" spans="1:44" s="211" customFormat="1" x14ac:dyDescent="0.25">
      <c r="A31" s="211" t="s">
        <v>656</v>
      </c>
      <c r="B31" s="309" t="str">
        <f t="shared" si="3"/>
        <v>5399</v>
      </c>
      <c r="C31" s="211" t="s">
        <v>1602</v>
      </c>
      <c r="D31" s="245">
        <v>500</v>
      </c>
      <c r="E31" s="245">
        <v>0</v>
      </c>
      <c r="F31" s="216"/>
      <c r="G31" s="213"/>
      <c r="H31" s="245">
        <v>500</v>
      </c>
      <c r="I31" s="245">
        <v>625</v>
      </c>
      <c r="J31" s="216"/>
      <c r="K31" s="213"/>
      <c r="L31" s="245">
        <v>500</v>
      </c>
      <c r="M31" s="245">
        <v>0</v>
      </c>
      <c r="N31" s="216"/>
      <c r="O31" s="213"/>
      <c r="P31" s="245">
        <v>500</v>
      </c>
      <c r="Q31" s="245">
        <v>0</v>
      </c>
      <c r="R31" s="216"/>
      <c r="S31" s="213"/>
      <c r="T31" s="245">
        <v>500</v>
      </c>
      <c r="U31" s="245">
        <v>0</v>
      </c>
      <c r="V31" s="216"/>
      <c r="W31" s="213"/>
      <c r="X31" s="245">
        <v>500</v>
      </c>
      <c r="Y31" s="245">
        <v>129.58000000000001</v>
      </c>
      <c r="Z31" s="216">
        <v>0</v>
      </c>
      <c r="AA31" s="213"/>
      <c r="AB31" s="245">
        <v>500</v>
      </c>
      <c r="AC31" s="245">
        <v>0</v>
      </c>
      <c r="AD31" s="216">
        <f t="shared" si="4"/>
        <v>0</v>
      </c>
      <c r="AE31" s="213"/>
      <c r="AF31" s="245">
        <v>250</v>
      </c>
      <c r="AG31" s="372">
        <v>250</v>
      </c>
      <c r="AH31" s="245">
        <v>1285.71</v>
      </c>
      <c r="AI31" s="216">
        <f t="shared" si="2"/>
        <v>-0.5</v>
      </c>
      <c r="AJ31" s="216"/>
      <c r="AK31" s="398">
        <v>250</v>
      </c>
      <c r="AL31" s="398">
        <v>0</v>
      </c>
      <c r="AM31" s="396">
        <f t="shared" si="7"/>
        <v>0</v>
      </c>
      <c r="AN31" s="397"/>
      <c r="AO31" s="157">
        <v>250</v>
      </c>
      <c r="AP31" s="398">
        <f t="shared" si="5"/>
        <v>0</v>
      </c>
      <c r="AQ31" s="396">
        <f t="shared" si="6"/>
        <v>0</v>
      </c>
      <c r="AR31" s="289"/>
    </row>
    <row r="32" spans="1:44" s="211" customFormat="1" x14ac:dyDescent="0.25">
      <c r="A32" s="211" t="s">
        <v>657</v>
      </c>
      <c r="B32" s="309" t="str">
        <f t="shared" si="3"/>
        <v>5420</v>
      </c>
      <c r="C32" s="211" t="s">
        <v>1480</v>
      </c>
      <c r="D32" s="245">
        <v>250</v>
      </c>
      <c r="E32" s="245">
        <v>201.81</v>
      </c>
      <c r="F32" s="216"/>
      <c r="G32" s="213"/>
      <c r="H32" s="245">
        <v>250</v>
      </c>
      <c r="I32" s="245">
        <v>922.18</v>
      </c>
      <c r="J32" s="216"/>
      <c r="K32" s="213"/>
      <c r="L32" s="245">
        <v>250</v>
      </c>
      <c r="M32" s="245">
        <v>213.78</v>
      </c>
      <c r="N32" s="216"/>
      <c r="O32" s="213"/>
      <c r="P32" s="245">
        <v>250</v>
      </c>
      <c r="Q32" s="245">
        <v>28.68</v>
      </c>
      <c r="R32" s="216"/>
      <c r="S32" s="213"/>
      <c r="T32" s="245">
        <v>250</v>
      </c>
      <c r="U32" s="245">
        <v>321.79000000000002</v>
      </c>
      <c r="V32" s="216"/>
      <c r="W32" s="213"/>
      <c r="X32" s="245">
        <v>250</v>
      </c>
      <c r="Y32" s="245">
        <v>80.239999999999995</v>
      </c>
      <c r="Z32" s="216">
        <v>0</v>
      </c>
      <c r="AA32" s="213"/>
      <c r="AB32" s="245">
        <v>250</v>
      </c>
      <c r="AC32" s="245">
        <v>323.87</v>
      </c>
      <c r="AD32" s="216">
        <f t="shared" si="4"/>
        <v>0</v>
      </c>
      <c r="AE32" s="213"/>
      <c r="AF32" s="245">
        <v>250</v>
      </c>
      <c r="AG32" s="372">
        <v>250</v>
      </c>
      <c r="AH32" s="245">
        <v>245.76</v>
      </c>
      <c r="AI32" s="216">
        <f t="shared" si="2"/>
        <v>0</v>
      </c>
      <c r="AJ32" s="216"/>
      <c r="AK32" s="398">
        <v>250</v>
      </c>
      <c r="AL32" s="398">
        <v>50.31</v>
      </c>
      <c r="AM32" s="396">
        <f t="shared" si="7"/>
        <v>0</v>
      </c>
      <c r="AN32" s="397"/>
      <c r="AO32" s="157">
        <v>250</v>
      </c>
      <c r="AP32" s="398">
        <f t="shared" si="5"/>
        <v>0</v>
      </c>
      <c r="AQ32" s="396">
        <f t="shared" si="6"/>
        <v>0</v>
      </c>
      <c r="AR32" s="289"/>
    </row>
    <row r="33" spans="1:44" s="211" customFormat="1" x14ac:dyDescent="0.25">
      <c r="A33" s="211" t="s">
        <v>658</v>
      </c>
      <c r="B33" s="309" t="str">
        <f t="shared" si="3"/>
        <v>5430</v>
      </c>
      <c r="C33" s="211" t="s">
        <v>1673</v>
      </c>
      <c r="D33" s="245">
        <v>500</v>
      </c>
      <c r="E33" s="245">
        <v>268.95</v>
      </c>
      <c r="F33" s="216"/>
      <c r="G33" s="213"/>
      <c r="H33" s="245">
        <v>500</v>
      </c>
      <c r="I33" s="245">
        <v>347.96</v>
      </c>
      <c r="J33" s="216"/>
      <c r="K33" s="213"/>
      <c r="L33" s="245">
        <v>500</v>
      </c>
      <c r="M33" s="245">
        <v>114.47</v>
      </c>
      <c r="N33" s="216"/>
      <c r="O33" s="213"/>
      <c r="P33" s="245">
        <v>400</v>
      </c>
      <c r="Q33" s="245">
        <v>1121.5899999999999</v>
      </c>
      <c r="R33" s="216"/>
      <c r="S33" s="213"/>
      <c r="T33" s="245">
        <v>400</v>
      </c>
      <c r="U33" s="245">
        <v>759.94</v>
      </c>
      <c r="V33" s="216"/>
      <c r="W33" s="213"/>
      <c r="X33" s="245">
        <v>400</v>
      </c>
      <c r="Y33" s="245">
        <v>490.4</v>
      </c>
      <c r="Z33" s="216">
        <v>0</v>
      </c>
      <c r="AA33" s="213"/>
      <c r="AB33" s="245">
        <v>400</v>
      </c>
      <c r="AC33" s="245">
        <v>74.52</v>
      </c>
      <c r="AD33" s="216">
        <f t="shared" si="4"/>
        <v>0</v>
      </c>
      <c r="AE33" s="213"/>
      <c r="AF33" s="245">
        <v>400</v>
      </c>
      <c r="AG33" s="372">
        <v>400</v>
      </c>
      <c r="AH33" s="245">
        <v>78.77</v>
      </c>
      <c r="AI33" s="216">
        <f t="shared" si="2"/>
        <v>0</v>
      </c>
      <c r="AJ33" s="216"/>
      <c r="AK33" s="398">
        <v>400</v>
      </c>
      <c r="AL33" s="398">
        <v>3.49</v>
      </c>
      <c r="AM33" s="396">
        <f t="shared" si="7"/>
        <v>0</v>
      </c>
      <c r="AN33" s="397"/>
      <c r="AO33" s="157">
        <v>400</v>
      </c>
      <c r="AP33" s="398">
        <f t="shared" si="5"/>
        <v>0</v>
      </c>
      <c r="AQ33" s="396">
        <f t="shared" si="6"/>
        <v>0</v>
      </c>
      <c r="AR33" s="289"/>
    </row>
    <row r="34" spans="1:44" s="394" customFormat="1" x14ac:dyDescent="0.25">
      <c r="A34" s="395" t="s">
        <v>1491</v>
      </c>
      <c r="B34" s="309" t="str">
        <f t="shared" si="3"/>
        <v>5450</v>
      </c>
      <c r="C34" s="394" t="s">
        <v>1644</v>
      </c>
      <c r="D34" s="398">
        <v>0</v>
      </c>
      <c r="E34" s="398">
        <v>0</v>
      </c>
      <c r="F34" s="396"/>
      <c r="G34" s="397"/>
      <c r="H34" s="398">
        <v>0</v>
      </c>
      <c r="I34" s="398">
        <v>7.48</v>
      </c>
      <c r="J34" s="396"/>
      <c r="K34" s="397"/>
      <c r="L34" s="398">
        <v>0</v>
      </c>
      <c r="M34" s="398">
        <v>0</v>
      </c>
      <c r="N34" s="396"/>
      <c r="O34" s="397"/>
      <c r="P34" s="398">
        <v>0</v>
      </c>
      <c r="Q34" s="398">
        <v>0</v>
      </c>
      <c r="R34" s="396"/>
      <c r="S34" s="397"/>
      <c r="T34" s="398">
        <v>0</v>
      </c>
      <c r="U34" s="398">
        <v>10.97</v>
      </c>
      <c r="V34" s="396"/>
      <c r="W34" s="397"/>
      <c r="X34" s="398">
        <v>0</v>
      </c>
      <c r="Y34" s="398">
        <v>0</v>
      </c>
      <c r="Z34" s="396" t="e">
        <v>#DIV/0!</v>
      </c>
      <c r="AA34" s="397"/>
      <c r="AB34" s="398"/>
      <c r="AC34" s="398"/>
      <c r="AD34" s="396"/>
      <c r="AE34" s="397"/>
      <c r="AF34" s="398"/>
      <c r="AG34" s="372"/>
      <c r="AH34" s="398">
        <v>12.35</v>
      </c>
      <c r="AI34" s="396"/>
      <c r="AJ34" s="396"/>
      <c r="AK34" s="398"/>
      <c r="AL34" s="398"/>
      <c r="AM34" s="396"/>
      <c r="AN34" s="397"/>
      <c r="AO34" s="157"/>
      <c r="AP34" s="398">
        <f t="shared" si="5"/>
        <v>0</v>
      </c>
      <c r="AQ34" s="396"/>
      <c r="AR34" s="289"/>
    </row>
    <row r="35" spans="1:44" s="211" customFormat="1" x14ac:dyDescent="0.25">
      <c r="A35" s="211" t="s">
        <v>659</v>
      </c>
      <c r="B35" s="309" t="str">
        <f t="shared" si="3"/>
        <v>5483</v>
      </c>
      <c r="C35" s="211" t="s">
        <v>1798</v>
      </c>
      <c r="D35" s="245">
        <v>1200</v>
      </c>
      <c r="E35" s="245">
        <v>501.69</v>
      </c>
      <c r="F35" s="216"/>
      <c r="G35" s="213"/>
      <c r="H35" s="245">
        <v>1200</v>
      </c>
      <c r="I35" s="245">
        <v>724.62</v>
      </c>
      <c r="J35" s="216"/>
      <c r="K35" s="213"/>
      <c r="L35" s="245">
        <v>1250</v>
      </c>
      <c r="M35" s="245">
        <v>1879.86</v>
      </c>
      <c r="N35" s="216"/>
      <c r="O35" s="213"/>
      <c r="P35" s="245">
        <v>2250</v>
      </c>
      <c r="Q35" s="245">
        <v>1074.97</v>
      </c>
      <c r="R35" s="216"/>
      <c r="S35" s="213"/>
      <c r="T35" s="245">
        <v>2250</v>
      </c>
      <c r="U35" s="245">
        <v>917.69</v>
      </c>
      <c r="V35" s="216"/>
      <c r="W35" s="213"/>
      <c r="X35" s="245">
        <v>2000</v>
      </c>
      <c r="Y35" s="245">
        <v>756.04</v>
      </c>
      <c r="Z35" s="216">
        <v>-0.1111111111111111</v>
      </c>
      <c r="AA35" s="213"/>
      <c r="AB35" s="245">
        <v>2000</v>
      </c>
      <c r="AC35" s="245">
        <v>750.32</v>
      </c>
      <c r="AD35" s="216">
        <f t="shared" si="4"/>
        <v>0</v>
      </c>
      <c r="AE35" s="213"/>
      <c r="AF35" s="245">
        <v>700</v>
      </c>
      <c r="AG35" s="372">
        <v>700</v>
      </c>
      <c r="AH35" s="245">
        <v>228.01</v>
      </c>
      <c r="AI35" s="216">
        <f t="shared" si="2"/>
        <v>-0.65</v>
      </c>
      <c r="AJ35" s="216"/>
      <c r="AK35" s="398">
        <v>700</v>
      </c>
      <c r="AL35" s="398">
        <v>342.46</v>
      </c>
      <c r="AM35" s="396">
        <f t="shared" ref="AM35:AM44" si="8">(AK35-AG35)/AG35</f>
        <v>0</v>
      </c>
      <c r="AN35" s="397"/>
      <c r="AO35" s="157">
        <v>700</v>
      </c>
      <c r="AP35" s="398">
        <f t="shared" si="5"/>
        <v>0</v>
      </c>
      <c r="AQ35" s="396">
        <f t="shared" si="6"/>
        <v>0</v>
      </c>
      <c r="AR35" s="289"/>
    </row>
    <row r="36" spans="1:44" s="211" customFormat="1" x14ac:dyDescent="0.25">
      <c r="A36" s="211" t="s">
        <v>660</v>
      </c>
      <c r="B36" s="309" t="str">
        <f t="shared" si="3"/>
        <v>5510</v>
      </c>
      <c r="C36" s="211" t="s">
        <v>1603</v>
      </c>
      <c r="D36" s="245">
        <v>100</v>
      </c>
      <c r="E36" s="245">
        <v>0</v>
      </c>
      <c r="F36" s="216"/>
      <c r="G36" s="213"/>
      <c r="H36" s="245">
        <v>100</v>
      </c>
      <c r="I36" s="245">
        <v>63.95</v>
      </c>
      <c r="J36" s="216"/>
      <c r="K36" s="213"/>
      <c r="L36" s="245">
        <v>100</v>
      </c>
      <c r="M36" s="245">
        <v>99.95</v>
      </c>
      <c r="N36" s="216"/>
      <c r="O36" s="213"/>
      <c r="P36" s="245">
        <v>100</v>
      </c>
      <c r="Q36" s="245">
        <v>31.95</v>
      </c>
      <c r="R36" s="216"/>
      <c r="S36" s="213"/>
      <c r="T36" s="245">
        <v>100</v>
      </c>
      <c r="U36" s="245">
        <v>0</v>
      </c>
      <c r="V36" s="216"/>
      <c r="W36" s="213"/>
      <c r="X36" s="245">
        <v>100</v>
      </c>
      <c r="Y36" s="245">
        <v>91.9</v>
      </c>
      <c r="Z36" s="216">
        <v>0</v>
      </c>
      <c r="AA36" s="213"/>
      <c r="AB36" s="245">
        <v>100</v>
      </c>
      <c r="AC36" s="245">
        <v>0</v>
      </c>
      <c r="AD36" s="216">
        <f t="shared" si="4"/>
        <v>0</v>
      </c>
      <c r="AE36" s="213"/>
      <c r="AF36" s="245">
        <v>100</v>
      </c>
      <c r="AG36" s="372">
        <v>100</v>
      </c>
      <c r="AH36" s="245">
        <v>53.95</v>
      </c>
      <c r="AI36" s="216">
        <f t="shared" si="2"/>
        <v>0</v>
      </c>
      <c r="AJ36" s="216"/>
      <c r="AK36" s="398">
        <v>100</v>
      </c>
      <c r="AL36" s="398">
        <v>0</v>
      </c>
      <c r="AM36" s="396">
        <f t="shared" si="8"/>
        <v>0</v>
      </c>
      <c r="AN36" s="397"/>
      <c r="AO36" s="157">
        <v>100</v>
      </c>
      <c r="AP36" s="398">
        <f t="shared" si="5"/>
        <v>0</v>
      </c>
      <c r="AQ36" s="396">
        <f t="shared" si="6"/>
        <v>0</v>
      </c>
      <c r="AR36" s="289"/>
    </row>
    <row r="37" spans="1:44" s="211" customFormat="1" x14ac:dyDescent="0.25">
      <c r="A37" s="211" t="s">
        <v>661</v>
      </c>
      <c r="B37" s="309" t="str">
        <f t="shared" si="3"/>
        <v>5532</v>
      </c>
      <c r="C37" s="211" t="s">
        <v>1846</v>
      </c>
      <c r="D37" s="245">
        <v>100</v>
      </c>
      <c r="E37" s="245">
        <v>55.85</v>
      </c>
      <c r="F37" s="216"/>
      <c r="G37" s="213"/>
      <c r="H37" s="245">
        <v>100</v>
      </c>
      <c r="I37" s="245">
        <v>0</v>
      </c>
      <c r="J37" s="216"/>
      <c r="K37" s="213"/>
      <c r="L37" s="245">
        <v>500</v>
      </c>
      <c r="M37" s="245">
        <v>0</v>
      </c>
      <c r="N37" s="216"/>
      <c r="O37" s="213"/>
      <c r="P37" s="245">
        <v>500</v>
      </c>
      <c r="Q37" s="245">
        <v>178.45</v>
      </c>
      <c r="R37" s="216"/>
      <c r="S37" s="213"/>
      <c r="T37" s="245">
        <v>500</v>
      </c>
      <c r="U37" s="245">
        <v>0</v>
      </c>
      <c r="V37" s="216"/>
      <c r="W37" s="213"/>
      <c r="X37" s="245">
        <v>500</v>
      </c>
      <c r="Y37" s="245">
        <v>0</v>
      </c>
      <c r="Z37" s="216">
        <v>0</v>
      </c>
      <c r="AA37" s="213"/>
      <c r="AB37" s="245">
        <v>500</v>
      </c>
      <c r="AC37" s="245">
        <v>0</v>
      </c>
      <c r="AD37" s="216">
        <f t="shared" si="4"/>
        <v>0</v>
      </c>
      <c r="AE37" s="213"/>
      <c r="AF37" s="245">
        <v>1000</v>
      </c>
      <c r="AG37" s="372">
        <v>1000</v>
      </c>
      <c r="AH37" s="245">
        <v>0</v>
      </c>
      <c r="AI37" s="216">
        <f t="shared" si="2"/>
        <v>1</v>
      </c>
      <c r="AJ37" s="216"/>
      <c r="AK37" s="398">
        <v>1000</v>
      </c>
      <c r="AL37" s="398">
        <v>0</v>
      </c>
      <c r="AM37" s="396">
        <f t="shared" si="8"/>
        <v>0</v>
      </c>
      <c r="AN37" s="397"/>
      <c r="AO37" s="157">
        <v>1000</v>
      </c>
      <c r="AP37" s="398">
        <f t="shared" si="5"/>
        <v>0</v>
      </c>
      <c r="AQ37" s="396">
        <f t="shared" si="6"/>
        <v>0</v>
      </c>
      <c r="AR37" s="289" t="s">
        <v>1285</v>
      </c>
    </row>
    <row r="38" spans="1:44" s="211" customFormat="1" x14ac:dyDescent="0.25">
      <c r="A38" s="211" t="s">
        <v>662</v>
      </c>
      <c r="B38" s="309" t="str">
        <f t="shared" si="3"/>
        <v>5585</v>
      </c>
      <c r="C38" s="211" t="s">
        <v>1684</v>
      </c>
      <c r="D38" s="245">
        <v>550</v>
      </c>
      <c r="E38" s="245">
        <v>0</v>
      </c>
      <c r="F38" s="216"/>
      <c r="G38" s="213"/>
      <c r="H38" s="245">
        <v>550</v>
      </c>
      <c r="I38" s="245">
        <v>0</v>
      </c>
      <c r="J38" s="216"/>
      <c r="K38" s="213"/>
      <c r="L38" s="245">
        <v>550</v>
      </c>
      <c r="M38" s="245">
        <v>19.989999999999998</v>
      </c>
      <c r="N38" s="216"/>
      <c r="O38" s="213"/>
      <c r="P38" s="245">
        <v>550</v>
      </c>
      <c r="Q38" s="245">
        <v>292</v>
      </c>
      <c r="R38" s="216"/>
      <c r="S38" s="213"/>
      <c r="T38" s="245">
        <v>750</v>
      </c>
      <c r="U38" s="245">
        <v>120</v>
      </c>
      <c r="V38" s="216"/>
      <c r="W38" s="213"/>
      <c r="X38" s="245">
        <v>750</v>
      </c>
      <c r="Y38" s="245">
        <v>156</v>
      </c>
      <c r="Z38" s="216">
        <v>0</v>
      </c>
      <c r="AA38" s="213"/>
      <c r="AB38" s="245">
        <v>500</v>
      </c>
      <c r="AC38" s="245">
        <v>92</v>
      </c>
      <c r="AD38" s="216">
        <f t="shared" si="4"/>
        <v>-0.33333333333333331</v>
      </c>
      <c r="AE38" s="213"/>
      <c r="AF38" s="245">
        <v>300</v>
      </c>
      <c r="AG38" s="372">
        <v>300</v>
      </c>
      <c r="AH38" s="245">
        <v>0</v>
      </c>
      <c r="AI38" s="216">
        <f t="shared" si="2"/>
        <v>-0.4</v>
      </c>
      <c r="AJ38" s="216"/>
      <c r="AK38" s="398">
        <v>300</v>
      </c>
      <c r="AL38" s="398">
        <v>0</v>
      </c>
      <c r="AM38" s="396">
        <f t="shared" si="8"/>
        <v>0</v>
      </c>
      <c r="AN38" s="397"/>
      <c r="AO38" s="157">
        <v>300</v>
      </c>
      <c r="AP38" s="398">
        <f t="shared" si="5"/>
        <v>0</v>
      </c>
      <c r="AQ38" s="396">
        <f t="shared" si="6"/>
        <v>0</v>
      </c>
      <c r="AR38" s="289" t="s">
        <v>1220</v>
      </c>
    </row>
    <row r="39" spans="1:44" s="211" customFormat="1" x14ac:dyDescent="0.25">
      <c r="A39" s="211" t="s">
        <v>663</v>
      </c>
      <c r="B39" s="309" t="str">
        <f t="shared" si="3"/>
        <v>5589</v>
      </c>
      <c r="C39" s="211" t="s">
        <v>1604</v>
      </c>
      <c r="D39" s="245">
        <v>200</v>
      </c>
      <c r="E39" s="245">
        <v>62.65</v>
      </c>
      <c r="F39" s="216"/>
      <c r="G39" s="213"/>
      <c r="H39" s="245">
        <v>200</v>
      </c>
      <c r="I39" s="245">
        <v>564.53</v>
      </c>
      <c r="J39" s="216"/>
      <c r="K39" s="213"/>
      <c r="L39" s="245">
        <v>200</v>
      </c>
      <c r="M39" s="245">
        <v>257.12</v>
      </c>
      <c r="N39" s="216"/>
      <c r="O39" s="213"/>
      <c r="P39" s="245">
        <v>100</v>
      </c>
      <c r="Q39" s="245">
        <v>0</v>
      </c>
      <c r="R39" s="216"/>
      <c r="S39" s="213"/>
      <c r="T39" s="245">
        <v>100</v>
      </c>
      <c r="U39" s="245">
        <v>7.99</v>
      </c>
      <c r="V39" s="216"/>
      <c r="W39" s="213"/>
      <c r="X39" s="245">
        <v>100</v>
      </c>
      <c r="Y39" s="245">
        <v>148.66</v>
      </c>
      <c r="Z39" s="216">
        <v>0</v>
      </c>
      <c r="AA39" s="213"/>
      <c r="AB39" s="245">
        <v>100</v>
      </c>
      <c r="AC39" s="245">
        <v>242.18</v>
      </c>
      <c r="AD39" s="216">
        <f t="shared" si="4"/>
        <v>0</v>
      </c>
      <c r="AE39" s="213"/>
      <c r="AF39" s="245">
        <v>100</v>
      </c>
      <c r="AG39" s="372">
        <v>100</v>
      </c>
      <c r="AH39" s="245">
        <v>7.99</v>
      </c>
      <c r="AI39" s="216">
        <f t="shared" si="2"/>
        <v>0</v>
      </c>
      <c r="AJ39" s="216"/>
      <c r="AK39" s="398">
        <v>100</v>
      </c>
      <c r="AL39" s="399">
        <v>-35.5</v>
      </c>
      <c r="AM39" s="396">
        <f t="shared" si="8"/>
        <v>0</v>
      </c>
      <c r="AN39" s="397"/>
      <c r="AO39" s="157">
        <v>100</v>
      </c>
      <c r="AP39" s="398">
        <f t="shared" si="5"/>
        <v>0</v>
      </c>
      <c r="AQ39" s="396">
        <f t="shared" si="6"/>
        <v>0</v>
      </c>
      <c r="AR39" s="159"/>
    </row>
    <row r="40" spans="1:44" s="211" customFormat="1" x14ac:dyDescent="0.25">
      <c r="A40" s="214" t="s">
        <v>1338</v>
      </c>
      <c r="B40" s="309" t="str">
        <f>MID(A40,14,4)</f>
        <v>5710</v>
      </c>
      <c r="C40" s="211" t="s">
        <v>1605</v>
      </c>
      <c r="D40" s="245">
        <v>100</v>
      </c>
      <c r="E40" s="245">
        <v>0</v>
      </c>
      <c r="F40" s="216"/>
      <c r="G40" s="213"/>
      <c r="H40" s="245">
        <v>100</v>
      </c>
      <c r="I40" s="245">
        <v>0</v>
      </c>
      <c r="J40" s="216"/>
      <c r="K40" s="213"/>
      <c r="L40" s="245">
        <v>100</v>
      </c>
      <c r="M40" s="245">
        <v>0</v>
      </c>
      <c r="N40" s="216"/>
      <c r="O40" s="213"/>
      <c r="P40" s="245">
        <v>100</v>
      </c>
      <c r="Q40" s="245">
        <v>0</v>
      </c>
      <c r="R40" s="216"/>
      <c r="S40" s="213"/>
      <c r="T40" s="245">
        <v>100</v>
      </c>
      <c r="U40" s="245">
        <v>0</v>
      </c>
      <c r="V40" s="216"/>
      <c r="W40" s="213"/>
      <c r="X40" s="245">
        <v>100</v>
      </c>
      <c r="Y40" s="245">
        <v>0</v>
      </c>
      <c r="Z40" s="216">
        <v>0</v>
      </c>
      <c r="AA40" s="213"/>
      <c r="AB40" s="245">
        <v>100</v>
      </c>
      <c r="AC40" s="245">
        <v>0</v>
      </c>
      <c r="AD40" s="216">
        <f t="shared" si="4"/>
        <v>0</v>
      </c>
      <c r="AE40" s="213"/>
      <c r="AF40" s="245"/>
      <c r="AG40" s="372"/>
      <c r="AH40" s="245">
        <v>0</v>
      </c>
      <c r="AI40" s="216">
        <f t="shared" si="2"/>
        <v>-1</v>
      </c>
      <c r="AJ40" s="216"/>
      <c r="AK40" s="398"/>
      <c r="AL40" s="567">
        <v>360</v>
      </c>
      <c r="AM40" s="396" t="e">
        <f t="shared" si="8"/>
        <v>#DIV/0!</v>
      </c>
      <c r="AN40" s="397"/>
      <c r="AO40" s="157"/>
      <c r="AP40" s="398">
        <f t="shared" si="5"/>
        <v>0</v>
      </c>
      <c r="AQ40" s="396"/>
      <c r="AR40" s="289"/>
    </row>
    <row r="41" spans="1:44" s="211" customFormat="1" x14ac:dyDescent="0.25">
      <c r="A41" s="214" t="s">
        <v>1339</v>
      </c>
      <c r="B41" s="309" t="str">
        <f>MID(A41,14,4)</f>
        <v>5711</v>
      </c>
      <c r="C41" s="211" t="s">
        <v>1606</v>
      </c>
      <c r="D41" s="245">
        <v>300</v>
      </c>
      <c r="E41" s="245">
        <v>0</v>
      </c>
      <c r="F41" s="216"/>
      <c r="G41" s="213"/>
      <c r="H41" s="245">
        <v>300</v>
      </c>
      <c r="I41" s="245">
        <v>0</v>
      </c>
      <c r="J41" s="216"/>
      <c r="K41" s="213"/>
      <c r="L41" s="245">
        <v>100</v>
      </c>
      <c r="M41" s="245">
        <v>0</v>
      </c>
      <c r="N41" s="216"/>
      <c r="O41" s="213"/>
      <c r="P41" s="245">
        <v>100</v>
      </c>
      <c r="Q41" s="245">
        <v>0</v>
      </c>
      <c r="R41" s="216"/>
      <c r="S41" s="213"/>
      <c r="T41" s="245">
        <v>100</v>
      </c>
      <c r="U41" s="245">
        <v>0</v>
      </c>
      <c r="V41" s="216"/>
      <c r="W41" s="213"/>
      <c r="X41" s="245">
        <v>100</v>
      </c>
      <c r="Y41" s="245">
        <v>0</v>
      </c>
      <c r="Z41" s="216">
        <v>0</v>
      </c>
      <c r="AA41" s="213"/>
      <c r="AB41" s="245">
        <v>100</v>
      </c>
      <c r="AC41" s="245">
        <v>0</v>
      </c>
      <c r="AD41" s="216">
        <f t="shared" si="4"/>
        <v>0</v>
      </c>
      <c r="AE41" s="213"/>
      <c r="AF41" s="245">
        <v>0</v>
      </c>
      <c r="AG41" s="372">
        <v>0</v>
      </c>
      <c r="AH41" s="245">
        <v>0</v>
      </c>
      <c r="AI41" s="216">
        <f t="shared" si="2"/>
        <v>-1</v>
      </c>
      <c r="AJ41" s="216"/>
      <c r="AK41" s="398">
        <v>0</v>
      </c>
      <c r="AL41" s="398">
        <v>332.45</v>
      </c>
      <c r="AM41" s="396" t="e">
        <f t="shared" si="8"/>
        <v>#DIV/0!</v>
      </c>
      <c r="AN41" s="397"/>
      <c r="AO41" s="157">
        <v>0</v>
      </c>
      <c r="AP41" s="398">
        <f t="shared" si="5"/>
        <v>0</v>
      </c>
      <c r="AQ41" s="396"/>
      <c r="AR41" s="289"/>
    </row>
    <row r="42" spans="1:44" s="211" customFormat="1" x14ac:dyDescent="0.25">
      <c r="A42" s="211" t="s">
        <v>664</v>
      </c>
      <c r="B42" s="309" t="str">
        <f t="shared" si="3"/>
        <v>5730</v>
      </c>
      <c r="C42" s="211" t="s">
        <v>1594</v>
      </c>
      <c r="D42" s="245">
        <v>175</v>
      </c>
      <c r="E42" s="245">
        <v>175</v>
      </c>
      <c r="F42" s="216"/>
      <c r="G42" s="213"/>
      <c r="H42" s="245">
        <v>175</v>
      </c>
      <c r="I42" s="245">
        <v>175</v>
      </c>
      <c r="J42" s="216"/>
      <c r="K42" s="213"/>
      <c r="L42" s="245">
        <v>175</v>
      </c>
      <c r="M42" s="245">
        <v>175</v>
      </c>
      <c r="N42" s="216"/>
      <c r="O42" s="213"/>
      <c r="P42" s="245">
        <v>175</v>
      </c>
      <c r="Q42" s="245">
        <v>175</v>
      </c>
      <c r="R42" s="216"/>
      <c r="S42" s="213"/>
      <c r="T42" s="245">
        <v>175</v>
      </c>
      <c r="U42" s="245">
        <v>175</v>
      </c>
      <c r="V42" s="216"/>
      <c r="W42" s="213"/>
      <c r="X42" s="245">
        <v>175</v>
      </c>
      <c r="Y42" s="245">
        <v>175</v>
      </c>
      <c r="Z42" s="216">
        <v>0</v>
      </c>
      <c r="AA42" s="213"/>
      <c r="AB42" s="245">
        <v>175</v>
      </c>
      <c r="AC42" s="245">
        <v>175</v>
      </c>
      <c r="AD42" s="216">
        <f t="shared" si="4"/>
        <v>0</v>
      </c>
      <c r="AE42" s="213"/>
      <c r="AF42" s="245">
        <v>175</v>
      </c>
      <c r="AG42" s="372">
        <v>175</v>
      </c>
      <c r="AH42" s="245">
        <v>5</v>
      </c>
      <c r="AI42" s="216">
        <f t="shared" si="2"/>
        <v>0</v>
      </c>
      <c r="AJ42" s="216"/>
      <c r="AK42" s="398">
        <v>175</v>
      </c>
      <c r="AL42" s="398">
        <v>0</v>
      </c>
      <c r="AM42" s="396">
        <f t="shared" si="8"/>
        <v>0</v>
      </c>
      <c r="AN42" s="397"/>
      <c r="AO42" s="157">
        <v>175</v>
      </c>
      <c r="AP42" s="398">
        <f t="shared" si="5"/>
        <v>0</v>
      </c>
      <c r="AQ42" s="396">
        <f t="shared" si="6"/>
        <v>0</v>
      </c>
      <c r="AR42" s="159"/>
    </row>
    <row r="43" spans="1:44" hidden="1" x14ac:dyDescent="0.25">
      <c r="A43" s="161" t="s">
        <v>665</v>
      </c>
      <c r="B43" s="309" t="str">
        <f t="shared" si="3"/>
        <v>5731</v>
      </c>
      <c r="C43" s="161" t="s">
        <v>1876</v>
      </c>
      <c r="D43" s="245">
        <v>5500</v>
      </c>
      <c r="E43" s="245">
        <v>5678.69</v>
      </c>
      <c r="F43" s="216"/>
      <c r="G43" s="213"/>
      <c r="H43" s="245">
        <v>5500</v>
      </c>
      <c r="I43" s="245">
        <v>3895.75</v>
      </c>
      <c r="J43" s="216"/>
      <c r="K43" s="213"/>
      <c r="L43" s="245">
        <v>4500</v>
      </c>
      <c r="M43" s="245">
        <v>4687.38</v>
      </c>
      <c r="N43" s="216"/>
      <c r="O43" s="213"/>
      <c r="P43" s="245">
        <v>4500</v>
      </c>
      <c r="Q43" s="245">
        <v>5766.05</v>
      </c>
      <c r="R43" s="216"/>
      <c r="S43" s="213"/>
      <c r="T43" s="245">
        <v>5500</v>
      </c>
      <c r="U43" s="245">
        <v>5718.76</v>
      </c>
      <c r="V43" s="216"/>
      <c r="W43" s="213"/>
      <c r="X43" s="245">
        <v>6000</v>
      </c>
      <c r="Y43" s="245">
        <v>90</v>
      </c>
      <c r="Z43" s="216">
        <v>9.0909090909090912E-2</v>
      </c>
      <c r="AA43" s="213"/>
      <c r="AB43" s="245">
        <v>0</v>
      </c>
      <c r="AC43" s="245">
        <v>0</v>
      </c>
      <c r="AD43" s="216">
        <f t="shared" si="4"/>
        <v>-1</v>
      </c>
      <c r="AE43" s="213"/>
      <c r="AF43" s="245">
        <v>0</v>
      </c>
      <c r="AG43" s="372">
        <v>0</v>
      </c>
      <c r="AH43" s="245">
        <v>0</v>
      </c>
      <c r="AI43" s="216" t="e">
        <f t="shared" si="2"/>
        <v>#DIV/0!</v>
      </c>
      <c r="AJ43" s="80"/>
      <c r="AK43" s="398">
        <v>0</v>
      </c>
      <c r="AL43" s="398">
        <v>0</v>
      </c>
      <c r="AM43" s="396" t="e">
        <f t="shared" si="8"/>
        <v>#DIV/0!</v>
      </c>
      <c r="AN43" s="397"/>
      <c r="AO43" s="157">
        <v>0</v>
      </c>
      <c r="AP43" s="398">
        <f t="shared" si="5"/>
        <v>0</v>
      </c>
      <c r="AQ43" s="396" t="e">
        <f t="shared" si="6"/>
        <v>#DIV/0!</v>
      </c>
      <c r="AR43" s="325" t="s">
        <v>1286</v>
      </c>
    </row>
    <row r="44" spans="1:44" s="211" customFormat="1" x14ac:dyDescent="0.25">
      <c r="A44" s="211" t="s">
        <v>666</v>
      </c>
      <c r="B44" s="309" t="str">
        <f t="shared" si="3"/>
        <v>5850</v>
      </c>
      <c r="C44" s="211" t="s">
        <v>1674</v>
      </c>
      <c r="D44" s="245">
        <v>250</v>
      </c>
      <c r="E44" s="245">
        <v>0</v>
      </c>
      <c r="F44" s="216"/>
      <c r="G44" s="213"/>
      <c r="H44" s="245">
        <v>250</v>
      </c>
      <c r="I44" s="245">
        <v>735.31</v>
      </c>
      <c r="J44" s="216"/>
      <c r="K44" s="213"/>
      <c r="L44" s="245">
        <v>500</v>
      </c>
      <c r="M44" s="245">
        <v>0</v>
      </c>
      <c r="N44" s="216"/>
      <c r="O44" s="213"/>
      <c r="P44" s="245">
        <v>250</v>
      </c>
      <c r="Q44" s="245">
        <v>0</v>
      </c>
      <c r="R44" s="216"/>
      <c r="S44" s="213"/>
      <c r="T44" s="245">
        <v>250</v>
      </c>
      <c r="U44" s="245">
        <v>0</v>
      </c>
      <c r="V44" s="216"/>
      <c r="W44" s="213"/>
      <c r="X44" s="245">
        <v>250</v>
      </c>
      <c r="Y44" s="245">
        <v>66.48</v>
      </c>
      <c r="Z44" s="216">
        <v>0</v>
      </c>
      <c r="AA44" s="213"/>
      <c r="AB44" s="245">
        <v>250</v>
      </c>
      <c r="AC44" s="245">
        <v>90.13</v>
      </c>
      <c r="AD44" s="216">
        <f t="shared" si="4"/>
        <v>0</v>
      </c>
      <c r="AE44" s="213"/>
      <c r="AF44" s="245">
        <v>150</v>
      </c>
      <c r="AG44" s="372">
        <v>150</v>
      </c>
      <c r="AH44" s="245">
        <v>99</v>
      </c>
      <c r="AI44" s="216">
        <f t="shared" si="2"/>
        <v>-0.4</v>
      </c>
      <c r="AJ44" s="216"/>
      <c r="AK44" s="398">
        <v>150</v>
      </c>
      <c r="AL44" s="398"/>
      <c r="AM44" s="396">
        <f t="shared" si="8"/>
        <v>0</v>
      </c>
      <c r="AN44" s="397"/>
      <c r="AO44" s="157">
        <v>150</v>
      </c>
      <c r="AP44" s="398">
        <f t="shared" si="5"/>
        <v>0</v>
      </c>
      <c r="AQ44" s="216">
        <f>AP44/AK44</f>
        <v>0</v>
      </c>
      <c r="AR44" s="159"/>
    </row>
    <row r="45" spans="1:44" s="114" customFormat="1" x14ac:dyDescent="0.25">
      <c r="A45" s="219"/>
      <c r="B45" s="278"/>
      <c r="C45" s="219" t="s">
        <v>279</v>
      </c>
      <c r="D45" s="220">
        <f>SUM(D14:D44)</f>
        <v>47825</v>
      </c>
      <c r="E45" s="220">
        <f>SUM(E14:E44)</f>
        <v>37816.629999999997</v>
      </c>
      <c r="F45" s="221">
        <v>-6.54E-2</v>
      </c>
      <c r="G45" s="219"/>
      <c r="H45" s="220">
        <f>SUM(H14:H44)</f>
        <v>57325</v>
      </c>
      <c r="I45" s="220">
        <f>SUM(I14:I44)</f>
        <v>59516.37999999999</v>
      </c>
      <c r="J45" s="221">
        <v>-6.54E-2</v>
      </c>
      <c r="K45" s="219"/>
      <c r="L45" s="220">
        <f>SUM(L14:L44)</f>
        <v>53575</v>
      </c>
      <c r="M45" s="220">
        <f>SUM(M14:M44)</f>
        <v>44803.909999999996</v>
      </c>
      <c r="N45" s="221">
        <v>-6.54E-2</v>
      </c>
      <c r="O45" s="219"/>
      <c r="P45" s="220">
        <f>SUM(P14:P44)</f>
        <v>57425</v>
      </c>
      <c r="Q45" s="220">
        <f>SUM(Q14:Q44)</f>
        <v>51069.229999999996</v>
      </c>
      <c r="R45" s="221">
        <v>-6.54E-2</v>
      </c>
      <c r="S45" s="219"/>
      <c r="T45" s="220">
        <f>SUM(T14:T44)</f>
        <v>59675</v>
      </c>
      <c r="U45" s="220">
        <f>SUM(U14:U44)</f>
        <v>52579.180000000008</v>
      </c>
      <c r="V45" s="221">
        <v>-6.54E-2</v>
      </c>
      <c r="W45" s="219"/>
      <c r="X45" s="220">
        <f>SUM(X14:X44)</f>
        <v>65425</v>
      </c>
      <c r="Y45" s="220">
        <f>SUM(Y14:Y44)</f>
        <v>39689.340000000011</v>
      </c>
      <c r="Z45" s="222">
        <f>(X45-T45)/T45</f>
        <v>9.6355257645580228E-2</v>
      </c>
      <c r="AA45" s="219"/>
      <c r="AB45" s="220">
        <f>SUM(AB14:AB44)</f>
        <v>66675</v>
      </c>
      <c r="AC45" s="220">
        <f>SUM(AC14:AC44)</f>
        <v>49320.039999999994</v>
      </c>
      <c r="AD45" s="222">
        <f>(AB45-X45)/X45</f>
        <v>1.9105846388995033E-2</v>
      </c>
      <c r="AE45" s="219"/>
      <c r="AF45" s="220">
        <f>SUM(AF14:AF44)</f>
        <v>82625</v>
      </c>
      <c r="AG45" s="378">
        <f>SUM(AG14:AG44)</f>
        <v>82625</v>
      </c>
      <c r="AH45" s="220">
        <f>SUM(AH14:AH44)</f>
        <v>85277.62</v>
      </c>
      <c r="AI45" s="222">
        <f t="shared" si="2"/>
        <v>0.23922009748781403</v>
      </c>
      <c r="AJ45" s="221"/>
      <c r="AK45" s="401">
        <f>SUM(AK14:AK44)</f>
        <v>82625</v>
      </c>
      <c r="AL45" s="401">
        <f>SUM(AL14:AL44)</f>
        <v>27336.170000000006</v>
      </c>
      <c r="AM45" s="222">
        <f>(AK45-AG45)/AG45</f>
        <v>0</v>
      </c>
      <c r="AN45" s="219"/>
      <c r="AO45" s="220">
        <f>SUM(AO14:AO44)</f>
        <v>82625</v>
      </c>
      <c r="AP45" s="220">
        <f>SUM(AP14:AP44)</f>
        <v>0</v>
      </c>
      <c r="AQ45" s="222">
        <f>AP45/AK45</f>
        <v>0</v>
      </c>
      <c r="AR45" s="219"/>
    </row>
    <row r="46" spans="1:44" s="211" customFormat="1" x14ac:dyDescent="0.25">
      <c r="B46" s="271"/>
      <c r="D46" s="112"/>
      <c r="E46" s="112"/>
      <c r="F46" s="216"/>
      <c r="G46" s="213"/>
      <c r="H46" s="112"/>
      <c r="I46" s="112"/>
      <c r="J46" s="216"/>
      <c r="K46" s="213"/>
      <c r="L46" s="112"/>
      <c r="M46" s="112"/>
      <c r="N46" s="216"/>
      <c r="O46" s="213"/>
      <c r="P46" s="112"/>
      <c r="Q46" s="112"/>
      <c r="R46" s="216"/>
      <c r="S46" s="213"/>
      <c r="T46" s="112"/>
      <c r="U46" s="112"/>
      <c r="V46" s="216"/>
      <c r="W46" s="213"/>
      <c r="X46" s="112"/>
      <c r="Y46" s="112"/>
      <c r="Z46" s="216"/>
      <c r="AA46" s="213"/>
      <c r="AB46" s="112"/>
      <c r="AC46" s="112"/>
      <c r="AD46" s="216"/>
      <c r="AE46" s="213"/>
      <c r="AF46" s="112"/>
      <c r="AG46" s="112"/>
      <c r="AH46" s="112"/>
      <c r="AI46" s="216"/>
      <c r="AJ46" s="216"/>
      <c r="AK46" s="112"/>
      <c r="AL46" s="112"/>
      <c r="AM46" s="396"/>
      <c r="AN46" s="397"/>
      <c r="AO46" s="112"/>
      <c r="AP46" s="112">
        <f>AO46-AG46</f>
        <v>0</v>
      </c>
      <c r="AQ46" s="112"/>
    </row>
    <row r="47" spans="1:44" s="114" customFormat="1" ht="12.75" x14ac:dyDescent="0.2">
      <c r="A47" s="228"/>
      <c r="B47" s="233"/>
      <c r="C47" s="233" t="s">
        <v>280</v>
      </c>
      <c r="D47" s="230">
        <f>D11+D45</f>
        <v>151109</v>
      </c>
      <c r="E47" s="230">
        <f>E11+E45</f>
        <v>131503.03</v>
      </c>
      <c r="F47" s="231">
        <v>1.8599999999999998E-2</v>
      </c>
      <c r="G47" s="228"/>
      <c r="H47" s="230">
        <f>H11+H45</f>
        <v>152100</v>
      </c>
      <c r="I47" s="230">
        <f>I11+I45</f>
        <v>156257.45999999996</v>
      </c>
      <c r="J47" s="231">
        <v>1.8599999999999998E-2</v>
      </c>
      <c r="K47" s="228"/>
      <c r="L47" s="230">
        <f>L11+L45</f>
        <v>154928.06</v>
      </c>
      <c r="M47" s="230">
        <f>M11+M45</f>
        <v>136316.90999999997</v>
      </c>
      <c r="N47" s="231">
        <v>1.8599999999999998E-2</v>
      </c>
      <c r="O47" s="228"/>
      <c r="P47" s="230">
        <f>P11+P45</f>
        <v>172023.12</v>
      </c>
      <c r="Q47" s="230">
        <f>Q11+Q45</f>
        <v>153551.85999999999</v>
      </c>
      <c r="R47" s="231">
        <v>1.8599999999999998E-2</v>
      </c>
      <c r="S47" s="228"/>
      <c r="T47" s="230">
        <f>T11+T45</f>
        <v>168045.91999999998</v>
      </c>
      <c r="U47" s="230">
        <f>U11+U45</f>
        <v>159368.90000000002</v>
      </c>
      <c r="V47" s="231">
        <v>1.8599999999999998E-2</v>
      </c>
      <c r="W47" s="228"/>
      <c r="X47" s="230">
        <f>X11+X45</f>
        <v>185554.4</v>
      </c>
      <c r="Y47" s="230">
        <f>Y11+Y45</f>
        <v>155279.45000000001</v>
      </c>
      <c r="Z47" s="231">
        <f>(X47-T47)/T47</f>
        <v>0.10418866462214621</v>
      </c>
      <c r="AA47" s="228"/>
      <c r="AB47" s="230">
        <f>AB11+AB45</f>
        <v>189580.37</v>
      </c>
      <c r="AC47" s="230">
        <f>AC11+AC45</f>
        <v>157714.60999999999</v>
      </c>
      <c r="AD47" s="231">
        <f>(AB47-X47)/X47</f>
        <v>2.1696979430291068E-2</v>
      </c>
      <c r="AE47" s="228"/>
      <c r="AF47" s="230">
        <f>AF11+AF45</f>
        <v>216902.28999999998</v>
      </c>
      <c r="AG47" s="378">
        <f>AG11+AG45</f>
        <v>223388.25</v>
      </c>
      <c r="AH47" s="230">
        <f>AH11+AH45</f>
        <v>203597.65</v>
      </c>
      <c r="AI47" s="231">
        <f t="shared" si="2"/>
        <v>0.1783300665569964</v>
      </c>
      <c r="AJ47" s="231"/>
      <c r="AK47" s="402">
        <f>AK11+AK45</f>
        <v>218029.62</v>
      </c>
      <c r="AL47" s="402">
        <f>AL11+AL45</f>
        <v>102124.59</v>
      </c>
      <c r="AM47" s="231">
        <f>(AK47-AG47)/AG47</f>
        <v>-2.3987967137931401E-2</v>
      </c>
      <c r="AN47" s="228"/>
      <c r="AO47" s="230">
        <f>AO11+AO45</f>
        <v>218304.19999999998</v>
      </c>
      <c r="AP47" s="230">
        <f>AP11+AP45</f>
        <v>274.57999999999083</v>
      </c>
      <c r="AQ47" s="231">
        <f>AP47/AK47</f>
        <v>1.2593701718142279E-3</v>
      </c>
      <c r="AR47" s="233"/>
    </row>
    <row r="48" spans="1:44" x14ac:dyDescent="0.25">
      <c r="D48" s="120"/>
      <c r="H48" s="120"/>
      <c r="L48" s="120"/>
      <c r="P48" s="120"/>
      <c r="T48" s="120"/>
      <c r="X48" s="120"/>
      <c r="AB48" s="120"/>
      <c r="AF48" s="120"/>
      <c r="AG48" s="120"/>
      <c r="AK48" s="403"/>
      <c r="AP48" s="211"/>
      <c r="AQ48" s="211"/>
    </row>
    <row r="49" spans="1:53" s="111" customFormat="1" thickBot="1" x14ac:dyDescent="0.25">
      <c r="B49" s="272"/>
      <c r="C49" s="111" t="s">
        <v>281</v>
      </c>
      <c r="D49" s="122"/>
      <c r="E49" s="121">
        <f>D47-E47</f>
        <v>19605.97</v>
      </c>
      <c r="H49" s="122"/>
      <c r="I49" s="121">
        <f>H47-I47</f>
        <v>-4157.4599999999627</v>
      </c>
      <c r="L49" s="122"/>
      <c r="M49" s="121">
        <f>L47-M47</f>
        <v>18611.150000000023</v>
      </c>
      <c r="P49" s="122"/>
      <c r="Q49" s="121">
        <f>P47-Q47</f>
        <v>18471.260000000009</v>
      </c>
      <c r="T49" s="122"/>
      <c r="U49" s="121">
        <f>T47-U47</f>
        <v>8677.0199999999604</v>
      </c>
      <c r="X49" s="122"/>
      <c r="Y49" s="121">
        <f>X47-Y47</f>
        <v>30274.949999999983</v>
      </c>
      <c r="AB49" s="122"/>
      <c r="AC49" s="121">
        <f>AB47-AC47</f>
        <v>31865.760000000009</v>
      </c>
      <c r="AF49" s="122"/>
      <c r="AG49" s="122"/>
      <c r="AH49" s="121">
        <f>AG47-AH47</f>
        <v>19790.600000000006</v>
      </c>
      <c r="AK49" s="122"/>
      <c r="AL49" s="121">
        <f>AK47-AL47</f>
        <v>115905.03</v>
      </c>
      <c r="AO49" s="123"/>
      <c r="AP49" s="123"/>
    </row>
    <row r="50" spans="1:53" s="211" customFormat="1" ht="14.25" thickTop="1" x14ac:dyDescent="0.25">
      <c r="A50" s="176"/>
      <c r="B50" s="146"/>
      <c r="C50" s="397"/>
      <c r="D50" s="399"/>
      <c r="E50" s="399"/>
      <c r="F50" s="4"/>
      <c r="G50" s="397"/>
      <c r="H50" s="399"/>
      <c r="I50" s="399"/>
      <c r="J50" s="4"/>
      <c r="K50" s="397"/>
      <c r="L50" s="399"/>
      <c r="M50" s="399"/>
      <c r="N50" s="4"/>
      <c r="O50" s="397"/>
      <c r="P50" s="399"/>
      <c r="Q50" s="399"/>
      <c r="R50" s="4"/>
      <c r="S50" s="397"/>
      <c r="T50" s="399"/>
      <c r="U50" s="399"/>
      <c r="V50" s="4"/>
      <c r="W50" s="397"/>
      <c r="X50" s="399"/>
      <c r="Y50" s="399"/>
      <c r="Z50" s="4"/>
      <c r="AA50" s="397"/>
      <c r="AB50" s="399"/>
      <c r="AC50" s="399"/>
      <c r="AD50" s="4"/>
      <c r="AE50" s="397"/>
      <c r="AF50" s="399"/>
      <c r="AG50" s="399"/>
      <c r="AH50" s="399"/>
      <c r="AI50" s="4"/>
      <c r="AJ50" s="4"/>
      <c r="AK50" s="399"/>
      <c r="AL50" s="399"/>
      <c r="AM50" s="4"/>
      <c r="AN50" s="397"/>
      <c r="AO50" s="240" t="s">
        <v>1195</v>
      </c>
      <c r="AP50" s="241"/>
      <c r="AQ50" s="242"/>
      <c r="AS50" s="213"/>
      <c r="AT50" s="213"/>
      <c r="AU50" s="213"/>
      <c r="AV50" s="213"/>
    </row>
    <row r="51" spans="1:53" s="211" customFormat="1" x14ac:dyDescent="0.25">
      <c r="A51" s="175"/>
      <c r="B51" s="146"/>
      <c r="C51" s="397"/>
      <c r="D51" s="399"/>
      <c r="E51" s="399"/>
      <c r="F51" s="4"/>
      <c r="G51" s="397"/>
      <c r="H51" s="399"/>
      <c r="I51" s="399"/>
      <c r="J51" s="4"/>
      <c r="K51" s="397"/>
      <c r="L51" s="399"/>
      <c r="M51" s="399"/>
      <c r="N51" s="4"/>
      <c r="O51" s="397"/>
      <c r="P51" s="399"/>
      <c r="Q51" s="399"/>
      <c r="R51" s="4"/>
      <c r="S51" s="397"/>
      <c r="T51" s="399"/>
      <c r="U51" s="399"/>
      <c r="V51" s="4"/>
      <c r="W51" s="397"/>
      <c r="X51" s="399"/>
      <c r="Y51" s="399"/>
      <c r="Z51" s="4"/>
      <c r="AA51" s="397"/>
      <c r="AB51" s="399"/>
      <c r="AC51" s="399"/>
      <c r="AD51" s="4"/>
      <c r="AE51" s="397"/>
      <c r="AF51" s="399"/>
      <c r="AG51" s="399"/>
      <c r="AH51" s="399"/>
      <c r="AI51" s="4"/>
      <c r="AJ51" s="4"/>
      <c r="AK51" s="399"/>
      <c r="AL51" s="399"/>
      <c r="AM51" s="4"/>
      <c r="AN51" s="397"/>
      <c r="AO51" s="243" t="s">
        <v>313</v>
      </c>
      <c r="AP51" s="5"/>
      <c r="AQ51" s="236">
        <f>AO11*0.0145</f>
        <v>1967.3483999999999</v>
      </c>
      <c r="AS51" s="213"/>
      <c r="AT51" s="213"/>
      <c r="AU51" s="213"/>
      <c r="AV51" s="213"/>
    </row>
    <row r="52" spans="1:53" s="211" customFormat="1" x14ac:dyDescent="0.25">
      <c r="A52" s="176"/>
      <c r="B52" s="146"/>
      <c r="C52" s="397"/>
      <c r="D52" s="399"/>
      <c r="E52" s="399"/>
      <c r="F52" s="4"/>
      <c r="G52" s="397"/>
      <c r="H52" s="399"/>
      <c r="I52" s="399"/>
      <c r="J52" s="4"/>
      <c r="K52" s="397"/>
      <c r="L52" s="399"/>
      <c r="M52" s="399"/>
      <c r="N52" s="4"/>
      <c r="O52" s="397"/>
      <c r="P52" s="399"/>
      <c r="Q52" s="399"/>
      <c r="R52" s="4"/>
      <c r="S52" s="397"/>
      <c r="T52" s="399"/>
      <c r="U52" s="399"/>
      <c r="V52" s="4"/>
      <c r="W52" s="397"/>
      <c r="X52" s="399"/>
      <c r="Y52" s="399"/>
      <c r="Z52" s="4"/>
      <c r="AA52" s="397"/>
      <c r="AB52" s="399"/>
      <c r="AC52" s="399"/>
      <c r="AD52" s="4"/>
      <c r="AE52" s="397"/>
      <c r="AF52" s="399"/>
      <c r="AG52" s="399"/>
      <c r="AH52" s="399"/>
      <c r="AI52" s="4"/>
      <c r="AJ52" s="4"/>
      <c r="AK52" s="399"/>
      <c r="AL52" s="399"/>
      <c r="AM52" s="4"/>
      <c r="AN52" s="397"/>
      <c r="AO52" s="210" t="s">
        <v>314</v>
      </c>
      <c r="AP52" s="5"/>
      <c r="AQ52" s="236">
        <f>AO11*0.0009</f>
        <v>122.11127999999998</v>
      </c>
      <c r="AS52" s="213"/>
      <c r="AT52" s="213"/>
      <c r="AU52" s="213"/>
      <c r="AV52" s="213"/>
    </row>
    <row r="53" spans="1:53" s="211" customFormat="1" x14ac:dyDescent="0.25">
      <c r="A53" s="175"/>
      <c r="B53" s="146"/>
      <c r="C53" s="397"/>
      <c r="D53" s="399"/>
      <c r="E53" s="399"/>
      <c r="F53" s="4"/>
      <c r="G53" s="397"/>
      <c r="H53" s="399"/>
      <c r="I53" s="399"/>
      <c r="J53" s="4"/>
      <c r="K53" s="397"/>
      <c r="L53" s="399"/>
      <c r="M53" s="399"/>
      <c r="N53" s="4"/>
      <c r="O53" s="397"/>
      <c r="P53" s="399"/>
      <c r="Q53" s="399"/>
      <c r="R53" s="4"/>
      <c r="S53" s="397"/>
      <c r="T53" s="399"/>
      <c r="U53" s="399"/>
      <c r="V53" s="4"/>
      <c r="W53" s="397"/>
      <c r="X53" s="399"/>
      <c r="Y53" s="399"/>
      <c r="Z53" s="4"/>
      <c r="AA53" s="397"/>
      <c r="AB53" s="399"/>
      <c r="AC53" s="399"/>
      <c r="AD53" s="4"/>
      <c r="AE53" s="397"/>
      <c r="AF53" s="399"/>
      <c r="AG53" s="399"/>
      <c r="AH53" s="399"/>
      <c r="AI53" s="4"/>
      <c r="AJ53" s="4"/>
      <c r="AK53" s="399"/>
      <c r="AL53" s="399"/>
      <c r="AM53" s="4"/>
      <c r="AN53" s="397"/>
      <c r="AO53" s="210" t="s">
        <v>315</v>
      </c>
      <c r="AP53" s="5"/>
      <c r="AQ53" s="236">
        <f>AO11*0.003</f>
        <v>407.03759999999994</v>
      </c>
      <c r="AS53" s="213"/>
      <c r="AT53" s="213"/>
      <c r="AU53" s="213"/>
      <c r="AV53" s="213"/>
    </row>
    <row r="54" spans="1:53" x14ac:dyDescent="0.25">
      <c r="A54" s="175"/>
      <c r="B54" s="146"/>
      <c r="C54" s="397"/>
      <c r="D54" s="399"/>
      <c r="E54" s="399"/>
      <c r="F54" s="4"/>
      <c r="G54" s="397"/>
      <c r="H54" s="399"/>
      <c r="I54" s="399"/>
      <c r="J54" s="4"/>
      <c r="K54" s="397"/>
      <c r="L54" s="399"/>
      <c r="M54" s="399"/>
      <c r="N54" s="4"/>
      <c r="O54" s="397"/>
      <c r="P54" s="399"/>
      <c r="Q54" s="399"/>
      <c r="R54" s="4"/>
      <c r="S54" s="397"/>
      <c r="T54" s="399"/>
      <c r="U54" s="399"/>
      <c r="V54" s="4"/>
      <c r="W54" s="397"/>
      <c r="X54" s="399"/>
      <c r="Y54" s="399"/>
      <c r="Z54" s="4"/>
      <c r="AA54" s="397"/>
      <c r="AB54" s="399"/>
      <c r="AC54" s="399"/>
      <c r="AD54" s="4"/>
      <c r="AE54" s="397"/>
      <c r="AF54" s="399"/>
      <c r="AG54" s="399"/>
      <c r="AH54" s="399"/>
      <c r="AI54" s="4"/>
      <c r="AJ54" s="4"/>
      <c r="AK54" s="399"/>
      <c r="AL54" s="399"/>
      <c r="AM54" s="4"/>
      <c r="AN54" s="397"/>
      <c r="AO54" s="210" t="s">
        <v>316</v>
      </c>
      <c r="AP54" s="5"/>
      <c r="AQ54" s="236">
        <f>'County Retirement'!G23</f>
        <v>9147.9328904960566</v>
      </c>
      <c r="AR54" s="211"/>
      <c r="AS54" s="211"/>
      <c r="AT54" s="211"/>
      <c r="AU54" s="211"/>
      <c r="AV54" s="211"/>
      <c r="AW54" s="211"/>
      <c r="AX54" s="211"/>
      <c r="AY54" s="211"/>
      <c r="AZ54" s="211"/>
      <c r="BA54" s="211"/>
    </row>
    <row r="55" spans="1:53" x14ac:dyDescent="0.25">
      <c r="A55" s="175"/>
      <c r="B55" s="146"/>
      <c r="C55" s="397"/>
      <c r="D55" s="399"/>
      <c r="E55" s="399"/>
      <c r="F55" s="4"/>
      <c r="G55" s="397"/>
      <c r="H55" s="399"/>
      <c r="I55" s="399"/>
      <c r="J55" s="4"/>
      <c r="K55" s="397"/>
      <c r="L55" s="399"/>
      <c r="M55" s="399"/>
      <c r="N55" s="4"/>
      <c r="O55" s="397"/>
      <c r="P55" s="399"/>
      <c r="Q55" s="399"/>
      <c r="R55" s="4"/>
      <c r="S55" s="397"/>
      <c r="T55" s="399"/>
      <c r="U55" s="399"/>
      <c r="V55" s="4"/>
      <c r="W55" s="397"/>
      <c r="X55" s="399"/>
      <c r="Y55" s="399"/>
      <c r="Z55" s="4"/>
      <c r="AA55" s="397"/>
      <c r="AB55" s="399"/>
      <c r="AC55" s="399"/>
      <c r="AD55" s="4"/>
      <c r="AE55" s="397"/>
      <c r="AF55" s="399"/>
      <c r="AG55" s="399"/>
      <c r="AH55" s="399"/>
      <c r="AI55" s="4"/>
      <c r="AJ55" s="4"/>
      <c r="AK55" s="399"/>
      <c r="AL55" s="399"/>
      <c r="AM55" s="4"/>
      <c r="AN55" s="397"/>
      <c r="AO55" s="210" t="s">
        <v>317</v>
      </c>
      <c r="AP55" s="5"/>
      <c r="AQ55" s="244">
        <f>'Health Ins'!L30</f>
        <v>10089</v>
      </c>
      <c r="AR55" s="211"/>
      <c r="AS55" s="147"/>
      <c r="AT55" s="147"/>
      <c r="AU55" s="147"/>
      <c r="AV55" s="147"/>
      <c r="AW55" s="211"/>
      <c r="AX55" s="211"/>
      <c r="AY55" s="211"/>
      <c r="AZ55" s="211"/>
      <c r="BA55" s="211"/>
    </row>
    <row r="56" spans="1:53" x14ac:dyDescent="0.25">
      <c r="A56" s="175"/>
      <c r="B56" s="146"/>
      <c r="C56" s="397"/>
      <c r="D56" s="399"/>
      <c r="E56" s="399"/>
      <c r="F56" s="4"/>
      <c r="G56" s="397"/>
      <c r="H56" s="399"/>
      <c r="I56" s="399"/>
      <c r="J56" s="4"/>
      <c r="K56" s="397"/>
      <c r="L56" s="399"/>
      <c r="M56" s="399"/>
      <c r="N56" s="4"/>
      <c r="O56" s="397"/>
      <c r="P56" s="399"/>
      <c r="Q56" s="399"/>
      <c r="R56" s="4"/>
      <c r="S56" s="397"/>
      <c r="T56" s="399"/>
      <c r="U56" s="399"/>
      <c r="V56" s="4"/>
      <c r="W56" s="397"/>
      <c r="X56" s="399"/>
      <c r="Y56" s="399"/>
      <c r="Z56" s="4"/>
      <c r="AA56" s="397"/>
      <c r="AB56" s="399"/>
      <c r="AC56" s="399"/>
      <c r="AD56" s="4"/>
      <c r="AE56" s="397"/>
      <c r="AF56" s="399"/>
      <c r="AG56" s="399"/>
      <c r="AH56" s="399"/>
      <c r="AI56" s="4"/>
      <c r="AJ56" s="4"/>
      <c r="AK56" s="399"/>
      <c r="AL56" s="399"/>
      <c r="AM56" s="4"/>
      <c r="AN56" s="397"/>
      <c r="AO56" s="235"/>
      <c r="AP56" s="237"/>
      <c r="AQ56" s="239">
        <f>SUM(AQ51:AQ55)</f>
        <v>21733.430170496056</v>
      </c>
      <c r="AR56" s="211"/>
      <c r="AS56" s="211"/>
      <c r="AT56" s="211"/>
      <c r="AU56" s="211"/>
      <c r="AV56" s="211"/>
      <c r="AW56" s="211"/>
      <c r="AX56" s="211"/>
      <c r="AY56" s="211"/>
      <c r="AZ56" s="211"/>
      <c r="BA56" s="211"/>
    </row>
    <row r="57" spans="1:53" x14ac:dyDescent="0.25">
      <c r="D57" s="245"/>
      <c r="E57" s="245"/>
      <c r="F57" s="216"/>
      <c r="G57" s="213"/>
      <c r="H57" s="245"/>
      <c r="I57" s="245"/>
      <c r="J57" s="216"/>
      <c r="K57" s="213"/>
      <c r="L57" s="245"/>
      <c r="M57" s="245"/>
      <c r="N57" s="216"/>
      <c r="O57" s="213"/>
      <c r="P57" s="245"/>
      <c r="Q57" s="245"/>
      <c r="R57" s="216"/>
      <c r="S57" s="213"/>
      <c r="T57" s="162"/>
      <c r="U57" s="162"/>
      <c r="V57" s="80"/>
      <c r="W57" s="103"/>
      <c r="X57" s="162"/>
      <c r="Y57" s="162"/>
      <c r="Z57" s="80"/>
      <c r="AB57" s="162"/>
      <c r="AC57" s="162"/>
      <c r="AD57" s="80"/>
      <c r="AF57" s="245"/>
      <c r="AG57" s="245"/>
      <c r="AH57" s="245"/>
      <c r="AI57" s="216"/>
      <c r="AJ57" s="80"/>
      <c r="AK57" s="398"/>
      <c r="AL57" s="398"/>
      <c r="AM57" s="396"/>
      <c r="AO57" s="408">
        <f>-SUM(AO8:AO10)</f>
        <v>-60881.82</v>
      </c>
      <c r="AP57" s="399" t="s">
        <v>1446</v>
      </c>
    </row>
    <row r="58" spans="1:53" x14ac:dyDescent="0.25">
      <c r="A58" s="176"/>
      <c r="B58" s="146"/>
      <c r="C58" s="397"/>
      <c r="D58" s="399"/>
      <c r="E58" s="399"/>
      <c r="F58" s="4"/>
      <c r="G58" s="397"/>
      <c r="H58" s="399"/>
      <c r="I58" s="399"/>
      <c r="J58" s="4"/>
      <c r="K58" s="397"/>
      <c r="L58" s="399"/>
      <c r="M58" s="399"/>
      <c r="N58" s="4"/>
      <c r="O58" s="397"/>
      <c r="P58" s="399"/>
      <c r="Q58" s="399"/>
      <c r="R58" s="4"/>
      <c r="S58" s="397"/>
      <c r="T58" s="399"/>
      <c r="U58" s="399"/>
      <c r="V58" s="4"/>
      <c r="W58" s="397"/>
      <c r="X58" s="399"/>
      <c r="Y58" s="399"/>
      <c r="Z58" s="4"/>
      <c r="AA58" s="397"/>
      <c r="AB58" s="399"/>
      <c r="AC58" s="399"/>
      <c r="AD58" s="4"/>
      <c r="AE58" s="397"/>
      <c r="AF58" s="399"/>
      <c r="AG58" s="399"/>
      <c r="AH58" s="399"/>
      <c r="AI58" s="4"/>
      <c r="AJ58" s="4"/>
      <c r="AK58" s="399"/>
      <c r="AL58" s="399"/>
      <c r="AM58" s="4"/>
      <c r="AN58" s="397"/>
      <c r="AO58" s="161"/>
      <c r="AP58" s="161"/>
      <c r="AR58" s="211"/>
      <c r="AS58" s="114"/>
      <c r="AT58" s="114"/>
      <c r="AU58" s="114"/>
      <c r="AV58" s="114"/>
      <c r="AW58" s="211"/>
      <c r="AX58" s="211"/>
      <c r="AY58" s="211"/>
      <c r="AZ58" s="211"/>
      <c r="BA58" s="211"/>
    </row>
    <row r="59" spans="1:53" x14ac:dyDescent="0.25">
      <c r="A59" s="175"/>
      <c r="B59" s="146"/>
      <c r="C59" s="397"/>
      <c r="D59" s="399"/>
      <c r="E59" s="399"/>
      <c r="F59" s="4"/>
      <c r="G59" s="397"/>
      <c r="H59" s="399"/>
      <c r="I59" s="399"/>
      <c r="J59" s="4"/>
      <c r="K59" s="397"/>
      <c r="L59" s="399"/>
      <c r="M59" s="399"/>
      <c r="N59" s="4"/>
      <c r="O59" s="397"/>
      <c r="P59" s="399"/>
      <c r="Q59" s="399"/>
      <c r="R59" s="4"/>
      <c r="S59" s="397"/>
      <c r="T59" s="399"/>
      <c r="U59" s="399"/>
      <c r="V59" s="4"/>
      <c r="W59" s="397"/>
      <c r="X59" s="399"/>
      <c r="Y59" s="399"/>
      <c r="Z59" s="4"/>
      <c r="AA59" s="397"/>
      <c r="AB59" s="399"/>
      <c r="AC59" s="399"/>
      <c r="AD59" s="399"/>
      <c r="AE59" s="4"/>
      <c r="AF59" s="397"/>
      <c r="AG59" s="399"/>
      <c r="AH59" s="399"/>
      <c r="AI59" s="4"/>
      <c r="AJ59" s="4"/>
      <c r="AK59" s="399"/>
      <c r="AL59" s="399"/>
      <c r="AM59" s="399"/>
      <c r="AN59" s="4"/>
      <c r="AO59" s="212"/>
      <c r="AP59" s="212"/>
      <c r="AQ59" s="211"/>
      <c r="AR59" s="211"/>
      <c r="AS59" s="211"/>
      <c r="AT59" s="211"/>
      <c r="AU59" s="211"/>
      <c r="AV59" s="211"/>
      <c r="AW59" s="211"/>
      <c r="AX59" s="211"/>
      <c r="AY59" s="211"/>
      <c r="AZ59" s="211"/>
      <c r="BA59" s="211"/>
    </row>
    <row r="60" spans="1:53" x14ac:dyDescent="0.25">
      <c r="A60" s="397"/>
      <c r="B60" s="146"/>
      <c r="C60" s="118"/>
      <c r="D60" s="415"/>
      <c r="E60" s="415"/>
      <c r="F60" s="4"/>
      <c r="G60" s="118"/>
      <c r="H60" s="415"/>
      <c r="I60" s="415"/>
      <c r="J60" s="4"/>
      <c r="K60" s="118"/>
      <c r="L60" s="415"/>
      <c r="M60" s="415"/>
      <c r="N60" s="4"/>
      <c r="O60" s="118"/>
      <c r="P60" s="415"/>
      <c r="Q60" s="415"/>
      <c r="R60" s="4"/>
      <c r="S60" s="118"/>
      <c r="T60" s="415"/>
      <c r="U60" s="415"/>
      <c r="V60" s="4"/>
      <c r="W60" s="118"/>
      <c r="X60" s="415"/>
      <c r="Y60" s="415"/>
      <c r="Z60" s="4"/>
      <c r="AA60" s="397"/>
      <c r="AB60" s="399"/>
      <c r="AC60" s="399"/>
      <c r="AD60" s="399"/>
      <c r="AE60" s="4"/>
      <c r="AF60" s="397"/>
      <c r="AG60" s="399"/>
      <c r="AH60" s="399"/>
      <c r="AI60" s="4"/>
      <c r="AJ60" s="4"/>
      <c r="AK60" s="399"/>
      <c r="AL60" s="399"/>
      <c r="AM60" s="399"/>
      <c r="AN60" s="4"/>
      <c r="AO60" s="212"/>
      <c r="AP60" s="212"/>
      <c r="AQ60" s="211"/>
      <c r="AR60" s="211"/>
      <c r="AS60" s="211"/>
      <c r="AT60" s="211"/>
      <c r="AU60" s="211"/>
      <c r="AV60" s="211"/>
      <c r="AW60" s="211"/>
      <c r="AX60" s="211"/>
      <c r="AY60" s="211"/>
      <c r="AZ60" s="211"/>
      <c r="BA60" s="211"/>
    </row>
    <row r="61" spans="1:53" x14ac:dyDescent="0.25">
      <c r="A61" s="397"/>
      <c r="B61" s="146"/>
      <c r="C61" s="176"/>
      <c r="D61" s="399"/>
      <c r="E61" s="399"/>
      <c r="F61" s="4"/>
      <c r="G61" s="397"/>
      <c r="H61" s="399"/>
      <c r="I61" s="399"/>
      <c r="J61" s="4"/>
      <c r="K61" s="397"/>
      <c r="L61" s="399"/>
      <c r="M61" s="399"/>
      <c r="N61" s="4"/>
      <c r="O61" s="397"/>
      <c r="P61" s="399"/>
      <c r="Q61" s="399"/>
      <c r="R61" s="4"/>
      <c r="S61" s="397"/>
      <c r="T61" s="399"/>
      <c r="U61" s="399"/>
      <c r="V61" s="4"/>
      <c r="W61" s="397"/>
      <c r="X61" s="399"/>
      <c r="Y61" s="399"/>
      <c r="Z61" s="4"/>
      <c r="AA61" s="397"/>
      <c r="AB61" s="399"/>
      <c r="AC61" s="399"/>
      <c r="AD61" s="4"/>
      <c r="AE61" s="397"/>
      <c r="AF61" s="399"/>
      <c r="AG61" s="399"/>
      <c r="AH61" s="399"/>
      <c r="AI61" s="4"/>
      <c r="AJ61" s="4"/>
      <c r="AK61" s="399"/>
      <c r="AL61" s="399"/>
      <c r="AM61" s="4"/>
      <c r="AN61" s="397"/>
      <c r="AO61" s="212"/>
      <c r="AP61" s="212"/>
      <c r="AQ61" s="211"/>
      <c r="AR61" s="211"/>
      <c r="AS61" s="211"/>
      <c r="AT61" s="211"/>
      <c r="AU61" s="211"/>
      <c r="AV61" s="211"/>
      <c r="AW61" s="211"/>
      <c r="AX61" s="211"/>
      <c r="AY61" s="211"/>
      <c r="AZ61" s="211"/>
      <c r="BA61" s="211"/>
    </row>
    <row r="62" spans="1:53" x14ac:dyDescent="0.25">
      <c r="A62" s="397"/>
      <c r="B62" s="146"/>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c r="AG62" s="397"/>
      <c r="AH62" s="397"/>
      <c r="AI62" s="397"/>
      <c r="AJ62" s="397"/>
      <c r="AK62" s="397"/>
      <c r="AL62" s="397"/>
      <c r="AM62" s="397"/>
      <c r="AN62" s="397"/>
      <c r="AO62" s="131"/>
      <c r="AP62" s="131"/>
      <c r="AQ62" s="211"/>
      <c r="AR62" s="211"/>
      <c r="AS62" s="211"/>
      <c r="AT62" s="211"/>
      <c r="AU62" s="211"/>
      <c r="AV62" s="211"/>
      <c r="AW62" s="211"/>
      <c r="AX62" s="211"/>
      <c r="AY62" s="211"/>
      <c r="AZ62" s="211"/>
      <c r="BA62" s="211"/>
    </row>
    <row r="63" spans="1:53" x14ac:dyDescent="0.25">
      <c r="A63" s="397"/>
      <c r="B63" s="146"/>
      <c r="C63" s="118"/>
      <c r="D63" s="413"/>
      <c r="E63" s="397"/>
      <c r="F63" s="397"/>
      <c r="G63" s="397"/>
      <c r="H63" s="413"/>
      <c r="I63" s="397"/>
      <c r="J63" s="397"/>
      <c r="K63" s="397"/>
      <c r="L63" s="413"/>
      <c r="M63" s="397"/>
      <c r="N63" s="397"/>
      <c r="O63" s="397"/>
      <c r="P63" s="413"/>
      <c r="Q63" s="397"/>
      <c r="R63" s="397"/>
      <c r="S63" s="397"/>
      <c r="T63" s="413"/>
      <c r="U63" s="397"/>
      <c r="V63" s="397"/>
      <c r="W63" s="397"/>
      <c r="X63" s="413"/>
      <c r="Y63" s="397"/>
      <c r="Z63" s="397"/>
      <c r="AA63" s="397"/>
      <c r="AB63" s="413"/>
      <c r="AC63" s="397"/>
      <c r="AD63" s="397"/>
      <c r="AE63" s="397"/>
      <c r="AF63" s="413"/>
      <c r="AG63" s="413"/>
      <c r="AH63" s="397"/>
      <c r="AI63" s="397"/>
      <c r="AJ63" s="397"/>
      <c r="AK63" s="413"/>
      <c r="AL63" s="397"/>
      <c r="AM63" s="397"/>
      <c r="AN63" s="397"/>
      <c r="AO63" s="131"/>
      <c r="AP63" s="131"/>
      <c r="AQ63" s="211"/>
      <c r="AR63" s="211"/>
      <c r="AS63" s="211"/>
      <c r="AT63" s="211"/>
      <c r="AU63" s="211"/>
      <c r="AV63" s="211"/>
      <c r="AW63" s="211"/>
      <c r="AX63" s="211"/>
      <c r="AY63" s="211"/>
      <c r="AZ63" s="211"/>
      <c r="BA63" s="211"/>
    </row>
    <row r="64" spans="1:53" x14ac:dyDescent="0.25">
      <c r="A64" s="175"/>
      <c r="B64" s="146"/>
      <c r="C64" s="176"/>
      <c r="D64" s="399"/>
      <c r="E64" s="399"/>
      <c r="F64" s="4"/>
      <c r="G64" s="397"/>
      <c r="H64" s="399"/>
      <c r="I64" s="399"/>
      <c r="J64" s="4"/>
      <c r="K64" s="397"/>
      <c r="L64" s="399"/>
      <c r="M64" s="399"/>
      <c r="N64" s="4"/>
      <c r="O64" s="397"/>
      <c r="P64" s="399"/>
      <c r="Q64" s="399"/>
      <c r="R64" s="4"/>
      <c r="S64" s="397"/>
      <c r="T64" s="399"/>
      <c r="U64" s="399"/>
      <c r="V64" s="4"/>
      <c r="W64" s="397"/>
      <c r="X64" s="399"/>
      <c r="Y64" s="399"/>
      <c r="Z64" s="4"/>
      <c r="AA64" s="397"/>
      <c r="AB64" s="399"/>
      <c r="AC64" s="399"/>
      <c r="AD64" s="4"/>
      <c r="AE64" s="397"/>
      <c r="AF64" s="399"/>
      <c r="AG64" s="399"/>
      <c r="AH64" s="399"/>
      <c r="AI64" s="4"/>
      <c r="AJ64" s="4"/>
      <c r="AK64" s="399"/>
      <c r="AL64" s="399"/>
      <c r="AM64" s="4"/>
      <c r="AN64" s="397"/>
      <c r="AO64" s="212"/>
      <c r="AP64" s="212"/>
      <c r="AQ64" s="211"/>
      <c r="AR64" s="211"/>
      <c r="AS64" s="211"/>
      <c r="AT64" s="211"/>
      <c r="AU64" s="211"/>
      <c r="AV64" s="211"/>
      <c r="AW64" s="211"/>
      <c r="AX64" s="211"/>
      <c r="AY64" s="211"/>
      <c r="AZ64" s="211"/>
      <c r="BA64" s="211"/>
    </row>
    <row r="65" spans="1:53" x14ac:dyDescent="0.25">
      <c r="A65" s="175"/>
      <c r="B65" s="146"/>
      <c r="C65" s="176"/>
      <c r="D65" s="399"/>
      <c r="E65" s="399"/>
      <c r="F65" s="4"/>
      <c r="G65" s="397"/>
      <c r="H65" s="399"/>
      <c r="I65" s="399"/>
      <c r="J65" s="4"/>
      <c r="K65" s="397"/>
      <c r="L65" s="399"/>
      <c r="M65" s="399"/>
      <c r="N65" s="4"/>
      <c r="O65" s="397"/>
      <c r="P65" s="399"/>
      <c r="Q65" s="399"/>
      <c r="R65" s="4"/>
      <c r="S65" s="397"/>
      <c r="T65" s="399"/>
      <c r="U65" s="399"/>
      <c r="V65" s="4"/>
      <c r="W65" s="397"/>
      <c r="X65" s="399"/>
      <c r="Y65" s="399"/>
      <c r="Z65" s="4"/>
      <c r="AA65" s="397"/>
      <c r="AB65" s="399"/>
      <c r="AC65" s="399"/>
      <c r="AD65" s="4"/>
      <c r="AE65" s="397"/>
      <c r="AF65" s="399"/>
      <c r="AG65" s="399"/>
      <c r="AH65" s="399"/>
      <c r="AI65" s="4"/>
      <c r="AJ65" s="4"/>
      <c r="AK65" s="399"/>
      <c r="AL65" s="399"/>
      <c r="AM65" s="4"/>
      <c r="AN65" s="397"/>
      <c r="AO65" s="131"/>
      <c r="AP65" s="211"/>
      <c r="AQ65" s="211"/>
      <c r="AR65" s="211"/>
      <c r="AS65" s="211"/>
      <c r="AT65" s="211"/>
      <c r="AU65" s="211"/>
      <c r="AV65" s="211"/>
      <c r="AW65" s="211"/>
      <c r="AX65" s="211"/>
      <c r="AY65" s="211"/>
      <c r="AZ65" s="211"/>
      <c r="BA65" s="211"/>
    </row>
    <row r="66" spans="1:53" x14ac:dyDescent="0.25">
      <c r="A66" s="397"/>
      <c r="B66" s="146"/>
      <c r="C66" s="118"/>
      <c r="D66" s="413"/>
      <c r="E66" s="397"/>
      <c r="F66" s="397"/>
      <c r="G66" s="397"/>
      <c r="H66" s="413"/>
      <c r="I66" s="397"/>
      <c r="J66" s="397"/>
      <c r="K66" s="397"/>
      <c r="L66" s="413"/>
      <c r="M66" s="397"/>
      <c r="N66" s="397"/>
      <c r="O66" s="397"/>
      <c r="P66" s="413"/>
      <c r="Q66" s="397"/>
      <c r="R66" s="397"/>
      <c r="S66" s="397"/>
      <c r="T66" s="413"/>
      <c r="U66" s="397"/>
      <c r="V66" s="397"/>
      <c r="W66" s="397"/>
      <c r="X66" s="413"/>
      <c r="Y66" s="417"/>
      <c r="Z66" s="397"/>
      <c r="AA66" s="397"/>
      <c r="AB66" s="413"/>
      <c r="AC66" s="417"/>
      <c r="AD66" s="397"/>
      <c r="AE66" s="397"/>
      <c r="AF66" s="413"/>
      <c r="AG66" s="413"/>
      <c r="AH66" s="417"/>
      <c r="AI66" s="397"/>
      <c r="AJ66" s="397"/>
      <c r="AK66" s="413"/>
      <c r="AL66" s="417"/>
      <c r="AM66" s="397"/>
      <c r="AN66" s="397"/>
      <c r="AO66" s="131"/>
      <c r="AP66" s="211"/>
      <c r="AQ66" s="211"/>
      <c r="AR66" s="211"/>
      <c r="AS66" s="211"/>
      <c r="AT66" s="211"/>
      <c r="AU66" s="211"/>
      <c r="AV66" s="211"/>
      <c r="AW66" s="211"/>
      <c r="AX66" s="211"/>
      <c r="AY66" s="211"/>
      <c r="AZ66" s="211"/>
      <c r="BA66" s="211"/>
    </row>
    <row r="67" spans="1:53" x14ac:dyDescent="0.25">
      <c r="A67" s="397"/>
      <c r="B67" s="146"/>
      <c r="C67" s="397"/>
      <c r="D67" s="413"/>
      <c r="E67" s="397"/>
      <c r="F67" s="397"/>
      <c r="G67" s="397"/>
      <c r="H67" s="413"/>
      <c r="I67" s="397"/>
      <c r="J67" s="397"/>
      <c r="K67" s="397"/>
      <c r="L67" s="413"/>
      <c r="M67" s="397"/>
      <c r="N67" s="397"/>
      <c r="O67" s="397"/>
      <c r="P67" s="413"/>
      <c r="Q67" s="397"/>
      <c r="R67" s="397"/>
      <c r="S67" s="397"/>
      <c r="T67" s="413"/>
      <c r="U67" s="397"/>
      <c r="V67" s="397"/>
      <c r="W67" s="397"/>
      <c r="X67" s="413"/>
      <c r="Y67" s="397"/>
      <c r="Z67" s="397"/>
      <c r="AA67" s="397"/>
      <c r="AB67" s="413"/>
      <c r="AC67" s="397"/>
      <c r="AD67" s="397"/>
      <c r="AE67" s="397"/>
      <c r="AF67" s="413"/>
      <c r="AG67" s="413"/>
      <c r="AH67" s="397"/>
      <c r="AI67" s="397"/>
      <c r="AJ67" s="397"/>
      <c r="AK67" s="413"/>
      <c r="AL67" s="397"/>
      <c r="AM67" s="397"/>
      <c r="AN67" s="397"/>
      <c r="AO67" s="131"/>
      <c r="AP67" s="211"/>
      <c r="AQ67" s="211"/>
      <c r="AR67" s="211"/>
      <c r="AS67" s="211"/>
      <c r="AT67" s="211"/>
      <c r="AU67" s="211"/>
      <c r="AV67" s="211"/>
      <c r="AW67" s="211"/>
      <c r="AX67" s="211"/>
      <c r="AY67" s="211"/>
      <c r="AZ67" s="211"/>
      <c r="BA67" s="211"/>
    </row>
    <row r="68" spans="1:53" x14ac:dyDescent="0.25">
      <c r="A68" s="397"/>
      <c r="B68" s="146"/>
      <c r="C68" s="397"/>
      <c r="D68" s="413"/>
      <c r="E68" s="397"/>
      <c r="F68" s="397"/>
      <c r="G68" s="397"/>
      <c r="H68" s="413"/>
      <c r="I68" s="397"/>
      <c r="J68" s="397"/>
      <c r="K68" s="397"/>
      <c r="L68" s="413"/>
      <c r="M68" s="397"/>
      <c r="N68" s="397"/>
      <c r="O68" s="397"/>
      <c r="P68" s="413"/>
      <c r="Q68" s="397"/>
      <c r="R68" s="397"/>
      <c r="S68" s="397"/>
      <c r="T68" s="413"/>
      <c r="U68" s="397"/>
      <c r="V68" s="397"/>
      <c r="W68" s="397"/>
      <c r="X68" s="413"/>
      <c r="Y68" s="397"/>
      <c r="Z68" s="397"/>
      <c r="AA68" s="397"/>
      <c r="AB68" s="413"/>
      <c r="AC68" s="399"/>
      <c r="AD68" s="4"/>
      <c r="AE68" s="397"/>
      <c r="AF68" s="413"/>
      <c r="AG68" s="413"/>
      <c r="AH68" s="399"/>
      <c r="AI68" s="4"/>
      <c r="AJ68" s="397"/>
      <c r="AK68" s="413"/>
      <c r="AL68" s="399"/>
      <c r="AM68" s="4"/>
      <c r="AN68" s="397"/>
    </row>
    <row r="69" spans="1:53" x14ac:dyDescent="0.25">
      <c r="D69" s="120"/>
      <c r="H69" s="120"/>
      <c r="L69" s="120"/>
      <c r="P69" s="120"/>
      <c r="T69" s="120"/>
      <c r="X69" s="120"/>
      <c r="AB69" s="120"/>
      <c r="AC69" s="162"/>
      <c r="AD69" s="80"/>
      <c r="AF69" s="120"/>
      <c r="AG69" s="120"/>
      <c r="AH69" s="245"/>
      <c r="AI69" s="216"/>
      <c r="AK69" s="403"/>
      <c r="AL69" s="398"/>
      <c r="AM69" s="396"/>
    </row>
    <row r="70" spans="1:53" x14ac:dyDescent="0.25">
      <c r="D70" s="120"/>
      <c r="H70" s="120"/>
      <c r="L70" s="120"/>
      <c r="P70" s="120"/>
      <c r="T70" s="120"/>
      <c r="X70" s="120"/>
      <c r="AB70" s="120"/>
      <c r="AC70" s="162"/>
      <c r="AD70" s="80"/>
      <c r="AF70" s="120"/>
      <c r="AG70" s="120"/>
      <c r="AH70" s="245"/>
      <c r="AI70" s="216"/>
      <c r="AK70" s="403"/>
      <c r="AL70" s="398"/>
      <c r="AM70" s="396"/>
    </row>
    <row r="71" spans="1:53" x14ac:dyDescent="0.25">
      <c r="D71" s="120"/>
      <c r="H71" s="120"/>
      <c r="L71" s="120"/>
      <c r="P71" s="120"/>
      <c r="T71" s="120"/>
      <c r="X71" s="120"/>
      <c r="AB71" s="120"/>
      <c r="AC71" s="162"/>
      <c r="AD71" s="80"/>
      <c r="AF71" s="120"/>
      <c r="AG71" s="120"/>
      <c r="AH71" s="245"/>
      <c r="AI71" s="216"/>
      <c r="AK71" s="403"/>
      <c r="AL71" s="398"/>
      <c r="AM71" s="396"/>
    </row>
    <row r="72" spans="1:53" x14ac:dyDescent="0.25">
      <c r="D72" s="120"/>
      <c r="H72" s="120"/>
      <c r="L72" s="120"/>
      <c r="P72" s="120"/>
      <c r="T72" s="120"/>
      <c r="X72" s="120"/>
      <c r="AB72" s="120"/>
      <c r="AF72" s="120"/>
      <c r="AG72" s="120"/>
      <c r="AK72" s="403"/>
    </row>
    <row r="73" spans="1:53" x14ac:dyDescent="0.25">
      <c r="D73" s="120"/>
      <c r="H73" s="120"/>
      <c r="L73" s="120"/>
      <c r="P73" s="120"/>
      <c r="T73" s="120"/>
      <c r="X73" s="120"/>
      <c r="AB73" s="120"/>
      <c r="AC73" s="162"/>
      <c r="AD73" s="80"/>
      <c r="AF73" s="120"/>
      <c r="AG73" s="120"/>
      <c r="AH73" s="245"/>
      <c r="AI73" s="216"/>
      <c r="AK73" s="403"/>
      <c r="AL73" s="398"/>
      <c r="AM73" s="396"/>
    </row>
    <row r="74" spans="1:53" x14ac:dyDescent="0.25">
      <c r="D74" s="120"/>
      <c r="H74" s="120"/>
      <c r="L74" s="120"/>
      <c r="P74" s="120"/>
      <c r="T74" s="120"/>
      <c r="X74" s="120"/>
      <c r="AB74" s="120"/>
      <c r="AC74" s="162"/>
      <c r="AD74" s="80"/>
      <c r="AF74" s="120"/>
      <c r="AG74" s="120"/>
      <c r="AH74" s="245"/>
      <c r="AI74" s="216"/>
      <c r="AK74" s="403"/>
      <c r="AL74" s="398"/>
      <c r="AM74" s="396"/>
    </row>
    <row r="75" spans="1:53" x14ac:dyDescent="0.25">
      <c r="D75" s="120"/>
      <c r="H75" s="120"/>
      <c r="L75" s="120"/>
      <c r="P75" s="120"/>
      <c r="T75" s="120"/>
      <c r="X75" s="120"/>
      <c r="AB75" s="120"/>
      <c r="AF75" s="120"/>
      <c r="AG75" s="120"/>
      <c r="AK75" s="403"/>
    </row>
    <row r="76" spans="1:53" x14ac:dyDescent="0.25">
      <c r="D76" s="120"/>
      <c r="H76" s="120"/>
      <c r="L76" s="120"/>
      <c r="P76" s="120"/>
      <c r="T76" s="120"/>
      <c r="X76" s="120"/>
      <c r="AB76" s="120"/>
      <c r="AF76" s="120"/>
      <c r="AG76" s="120"/>
      <c r="AK76" s="403"/>
    </row>
    <row r="77" spans="1:53" x14ac:dyDescent="0.25">
      <c r="D77" s="120"/>
      <c r="H77" s="120"/>
      <c r="L77" s="120"/>
      <c r="P77" s="120"/>
      <c r="T77" s="120"/>
      <c r="X77" s="120"/>
      <c r="AB77" s="120"/>
      <c r="AF77" s="120"/>
      <c r="AG77" s="120"/>
      <c r="AK77" s="403"/>
    </row>
    <row r="78" spans="1:53" x14ac:dyDescent="0.25">
      <c r="D78" s="120"/>
      <c r="H78" s="120"/>
      <c r="L78" s="120"/>
      <c r="P78" s="120"/>
      <c r="T78" s="120"/>
      <c r="X78" s="120"/>
      <c r="AB78" s="120"/>
      <c r="AF78" s="120"/>
      <c r="AG78" s="120"/>
      <c r="AK78" s="403"/>
    </row>
    <row r="79" spans="1:53" x14ac:dyDescent="0.25">
      <c r="D79" s="120"/>
      <c r="H79" s="120"/>
      <c r="L79" s="120"/>
      <c r="P79" s="120"/>
      <c r="T79" s="120"/>
      <c r="X79" s="120"/>
      <c r="AB79" s="120"/>
      <c r="AF79" s="120"/>
      <c r="AG79" s="120"/>
      <c r="AK79" s="403"/>
    </row>
    <row r="80" spans="1:53"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4"/>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7" fitToHeight="2" orientation="landscape" copies="15" r:id="rId1"/>
  <headerFooter alignWithMargins="0">
    <oddHeader>&amp;C&amp;"-,Bold"Proposed Budget &amp; Analysis Report for FY20</oddHeader>
    <oddFooter>&amp;C&amp;D&amp;T&amp;R&amp;A</oddFooter>
  </headerFooter>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3:AR370"/>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4.42578125" style="161" customWidth="1"/>
    <col min="4" max="4" width="13.28515625" style="211" hidden="1" customWidth="1"/>
    <col min="5" max="5" width="11.42578125" style="211" hidden="1" customWidth="1"/>
    <col min="6" max="6" width="7.7109375" style="211" hidden="1" customWidth="1"/>
    <col min="7" max="7" width="1.85546875" style="213" hidden="1" customWidth="1"/>
    <col min="8" max="8" width="13.28515625" style="211" hidden="1" customWidth="1"/>
    <col min="9" max="9" width="11.42578125" style="211" hidden="1" customWidth="1"/>
    <col min="10" max="10" width="7.7109375" style="211" hidden="1" customWidth="1"/>
    <col min="11" max="11" width="1.85546875" style="213" hidden="1" customWidth="1"/>
    <col min="12" max="12" width="13.28515625" style="211" hidden="1" customWidth="1"/>
    <col min="13" max="13" width="11.42578125" style="211" hidden="1" customWidth="1"/>
    <col min="14" max="14" width="7.7109375" style="211" hidden="1" customWidth="1"/>
    <col min="15" max="15" width="1.85546875" style="213" hidden="1" customWidth="1"/>
    <col min="16" max="16" width="13.28515625" style="211" hidden="1" customWidth="1"/>
    <col min="17" max="17" width="11.42578125" style="211" hidden="1" customWidth="1"/>
    <col min="18" max="18" width="7.7109375" style="211" hidden="1" customWidth="1"/>
    <col min="19" max="19" width="1.85546875" style="213" hidden="1" customWidth="1"/>
    <col min="20" max="20" width="13.28515625" style="161" hidden="1" customWidth="1"/>
    <col min="21" max="21" width="11.42578125" style="161" hidden="1" customWidth="1"/>
    <col min="22" max="22" width="7.7109375" style="161" hidden="1" customWidth="1"/>
    <col min="23" max="23" width="1.85546875" style="103" hidden="1" customWidth="1"/>
    <col min="24" max="25" width="11.5703125" style="161" hidden="1" customWidth="1"/>
    <col min="26" max="26" width="7.7109375" style="161" hidden="1" customWidth="1"/>
    <col min="27" max="27" width="1.85546875" style="103" hidden="1" customWidth="1"/>
    <col min="28" max="28" width="9.5703125" style="161" bestFit="1" customWidth="1"/>
    <col min="29" max="29" width="10.140625" style="161" bestFit="1" customWidth="1"/>
    <col min="30" max="30" width="6.140625" style="161" bestFit="1" customWidth="1"/>
    <col min="31" max="31" width="1.85546875" style="213" customWidth="1"/>
    <col min="32" max="32" width="11.5703125" style="211" hidden="1" customWidth="1"/>
    <col min="33" max="33" width="9.5703125" style="211" bestFit="1" customWidth="1"/>
    <col min="34" max="34" width="10.140625" style="211" bestFit="1" customWidth="1"/>
    <col min="35" max="35" width="6.140625" style="211" bestFit="1" customWidth="1"/>
    <col min="36" max="36" width="1.85546875" style="161" customWidth="1"/>
    <col min="37" max="37" width="9.5703125" style="394" bestFit="1" customWidth="1"/>
    <col min="38" max="38" width="10.140625" style="394" bestFit="1" customWidth="1"/>
    <col min="39" max="39" width="6.140625" style="394" bestFit="1" customWidth="1"/>
    <col min="40" max="40" width="1.85546875" style="397" customWidth="1"/>
    <col min="41" max="41" width="11.42578125" style="104" customWidth="1"/>
    <col min="42" max="42" width="11.7109375" style="104" customWidth="1"/>
    <col min="43" max="43" width="9.5703125" style="161" bestFit="1" customWidth="1"/>
    <col min="44" max="44" width="24.5703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1978</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80"/>
      <c r="AK6" s="112"/>
      <c r="AL6" s="112"/>
      <c r="AM6" s="396"/>
      <c r="AQ6" s="80"/>
      <c r="AR6" s="211"/>
    </row>
    <row r="7" spans="1:44" s="114" customFormat="1" x14ac:dyDescent="0.25">
      <c r="A7" s="224"/>
      <c r="B7" s="224"/>
      <c r="C7" s="224" t="s">
        <v>26</v>
      </c>
      <c r="D7" s="225"/>
      <c r="E7" s="225"/>
      <c r="F7" s="226"/>
      <c r="G7" s="224"/>
      <c r="H7" s="225"/>
      <c r="I7" s="225"/>
      <c r="J7" s="226"/>
      <c r="K7" s="224"/>
      <c r="L7" s="225"/>
      <c r="M7" s="225"/>
      <c r="N7" s="226"/>
      <c r="O7" s="224"/>
      <c r="P7" s="225"/>
      <c r="Q7" s="225"/>
      <c r="R7" s="226"/>
      <c r="S7" s="224"/>
      <c r="T7" s="225"/>
      <c r="U7" s="225"/>
      <c r="V7" s="226"/>
      <c r="W7" s="224"/>
      <c r="X7" s="225"/>
      <c r="Y7" s="225"/>
      <c r="Z7" s="226"/>
      <c r="AA7" s="224"/>
      <c r="AB7" s="225"/>
      <c r="AC7" s="225"/>
      <c r="AD7" s="226"/>
      <c r="AE7" s="224"/>
      <c r="AF7" s="227"/>
      <c r="AG7" s="227"/>
      <c r="AH7" s="225"/>
      <c r="AI7" s="226"/>
      <c r="AJ7" s="226"/>
      <c r="AK7" s="225"/>
      <c r="AL7" s="225"/>
      <c r="AM7" s="226"/>
      <c r="AN7" s="224"/>
      <c r="AO7" s="227"/>
      <c r="AP7" s="225"/>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80"/>
      <c r="AR9" s="111"/>
    </row>
    <row r="10" spans="1:44" x14ac:dyDescent="0.25">
      <c r="A10" s="161" t="s">
        <v>667</v>
      </c>
      <c r="B10" s="161">
        <v>5315</v>
      </c>
      <c r="C10" s="161" t="s">
        <v>1792</v>
      </c>
      <c r="D10" s="112">
        <v>300</v>
      </c>
      <c r="E10" s="112">
        <v>300</v>
      </c>
      <c r="F10" s="216"/>
      <c r="H10" s="112">
        <v>500</v>
      </c>
      <c r="I10" s="112">
        <v>500</v>
      </c>
      <c r="J10" s="216"/>
      <c r="L10" s="112">
        <v>700</v>
      </c>
      <c r="M10" s="112">
        <v>500</v>
      </c>
      <c r="N10" s="216"/>
      <c r="P10" s="112">
        <v>1000</v>
      </c>
      <c r="Q10" s="112">
        <v>500</v>
      </c>
      <c r="R10" s="216"/>
      <c r="T10" s="112">
        <v>1200</v>
      </c>
      <c r="U10" s="112">
        <v>500</v>
      </c>
      <c r="V10" s="216"/>
      <c r="W10" s="213"/>
      <c r="X10" s="112">
        <v>1200</v>
      </c>
      <c r="Y10" s="112">
        <v>1200</v>
      </c>
      <c r="Z10" s="216"/>
      <c r="AA10" s="213"/>
      <c r="AB10" s="112">
        <v>1200</v>
      </c>
      <c r="AC10" s="112">
        <v>1200</v>
      </c>
      <c r="AD10" s="216"/>
      <c r="AF10" s="212">
        <v>1200</v>
      </c>
      <c r="AG10" s="212">
        <v>1200</v>
      </c>
      <c r="AH10" s="112">
        <v>1200</v>
      </c>
      <c r="AI10" s="216">
        <f>(AG10-AB10)/AB10</f>
        <v>0</v>
      </c>
      <c r="AJ10" s="80"/>
      <c r="AK10" s="112">
        <v>1200</v>
      </c>
      <c r="AL10" s="112"/>
      <c r="AM10" s="396">
        <f>(AK10-AG10)/AG10</f>
        <v>0</v>
      </c>
      <c r="AO10" s="104">
        <v>1200</v>
      </c>
      <c r="AP10" s="104">
        <f>AO10-AK10</f>
        <v>0</v>
      </c>
      <c r="AQ10" s="396">
        <f>(AO10-AK10)/AK10</f>
        <v>0</v>
      </c>
      <c r="AR10" s="217" t="s">
        <v>1091</v>
      </c>
    </row>
    <row r="11" spans="1:44" s="114" customFormat="1" x14ac:dyDescent="0.25">
      <c r="A11" s="219"/>
      <c r="B11" s="219"/>
      <c r="C11" s="219" t="s">
        <v>279</v>
      </c>
      <c r="D11" s="220">
        <f>SUM(D10:D10)</f>
        <v>300</v>
      </c>
      <c r="E11" s="220">
        <f>SUM(E10:E10)</f>
        <v>300</v>
      </c>
      <c r="F11" s="221">
        <v>0.4</v>
      </c>
      <c r="G11" s="219"/>
      <c r="H11" s="220">
        <f>SUM(H10:H10)</f>
        <v>500</v>
      </c>
      <c r="I11" s="220">
        <f>SUM(I10:I10)</f>
        <v>500</v>
      </c>
      <c r="J11" s="221">
        <f>(H11-D11)/D11</f>
        <v>0.66666666666666663</v>
      </c>
      <c r="K11" s="219"/>
      <c r="L11" s="220">
        <f>SUM(L10:L10)</f>
        <v>700</v>
      </c>
      <c r="M11" s="220">
        <f>SUM(M10:M10)</f>
        <v>500</v>
      </c>
      <c r="N11" s="221">
        <f>(L11-H11)/H11</f>
        <v>0.4</v>
      </c>
      <c r="O11" s="219"/>
      <c r="P11" s="220">
        <f>SUM(P10:P10)</f>
        <v>1000</v>
      </c>
      <c r="Q11" s="220">
        <f>SUM(Q10:Q10)</f>
        <v>500</v>
      </c>
      <c r="R11" s="221">
        <f>(P11-L11)/L11</f>
        <v>0.42857142857142855</v>
      </c>
      <c r="S11" s="219"/>
      <c r="T11" s="220">
        <f>SUM(T10:T10)</f>
        <v>1200</v>
      </c>
      <c r="U11" s="220">
        <f>SUM(U10:U10)</f>
        <v>500</v>
      </c>
      <c r="V11" s="221">
        <f>(T11-P11)/P11</f>
        <v>0.2</v>
      </c>
      <c r="W11" s="219"/>
      <c r="X11" s="220">
        <f>SUM(X10:X10)</f>
        <v>1200</v>
      </c>
      <c r="Y11" s="220">
        <f>SUM(Y10:Y10)</f>
        <v>1200</v>
      </c>
      <c r="Z11" s="221">
        <f>(X11-T11)/T11</f>
        <v>0</v>
      </c>
      <c r="AA11" s="219"/>
      <c r="AB11" s="220">
        <f>SUM(AB10:AB10)</f>
        <v>1200</v>
      </c>
      <c r="AC11" s="220">
        <f>SUM(AC10:AC10)</f>
        <v>1200</v>
      </c>
      <c r="AD11" s="221">
        <f>(AB11-X11)/X11</f>
        <v>0</v>
      </c>
      <c r="AE11" s="219"/>
      <c r="AF11" s="220">
        <f>SUM(AF10:AF10)</f>
        <v>1200</v>
      </c>
      <c r="AG11" s="220">
        <f>SUM(AG10:AG10)</f>
        <v>1200</v>
      </c>
      <c r="AH11" s="220">
        <f>SUM(AH10:AH10)</f>
        <v>1200</v>
      </c>
      <c r="AI11" s="221">
        <f>(AG11-AB11)/AB11</f>
        <v>0</v>
      </c>
      <c r="AJ11" s="221"/>
      <c r="AK11" s="401">
        <f>SUM(AK10:AK10)</f>
        <v>1200</v>
      </c>
      <c r="AL11" s="401">
        <f>SUM(AL10:AL10)</f>
        <v>0</v>
      </c>
      <c r="AM11" s="221">
        <f>(AK11-AG11)/AG11</f>
        <v>0</v>
      </c>
      <c r="AN11" s="219"/>
      <c r="AO11" s="223">
        <f>SUM(AO10)</f>
        <v>1200</v>
      </c>
      <c r="AP11" s="220">
        <f>SUM(AP10)</f>
        <v>0</v>
      </c>
      <c r="AQ11" s="221">
        <f>(AO11-AK11)/AK11</f>
        <v>0</v>
      </c>
      <c r="AR11" s="219"/>
    </row>
    <row r="12" spans="1:44" s="211" customFormat="1" x14ac:dyDescent="0.25">
      <c r="D12" s="112"/>
      <c r="E12" s="112"/>
      <c r="F12" s="216"/>
      <c r="G12" s="213"/>
      <c r="H12" s="112"/>
      <c r="I12" s="112"/>
      <c r="J12" s="216"/>
      <c r="K12" s="213"/>
      <c r="L12" s="112"/>
      <c r="M12" s="112"/>
      <c r="N12" s="216"/>
      <c r="O12" s="213"/>
      <c r="P12" s="112"/>
      <c r="Q12" s="112"/>
      <c r="R12" s="216"/>
      <c r="S12" s="213"/>
      <c r="T12" s="112"/>
      <c r="U12" s="112"/>
      <c r="V12" s="216"/>
      <c r="W12" s="213"/>
      <c r="X12" s="112"/>
      <c r="Y12" s="112"/>
      <c r="Z12" s="216"/>
      <c r="AA12" s="213"/>
      <c r="AB12" s="112"/>
      <c r="AC12" s="112"/>
      <c r="AD12" s="216"/>
      <c r="AE12" s="213"/>
      <c r="AF12" s="112"/>
      <c r="AG12" s="112"/>
      <c r="AH12" s="112"/>
      <c r="AI12" s="216"/>
      <c r="AJ12" s="216"/>
      <c r="AK12" s="112"/>
      <c r="AL12" s="112"/>
      <c r="AM12" s="396"/>
      <c r="AN12" s="397"/>
      <c r="AO12" s="212"/>
      <c r="AP12" s="212"/>
      <c r="AQ12" s="396"/>
    </row>
    <row r="13" spans="1:44" s="114" customFormat="1" ht="12.75" x14ac:dyDescent="0.2">
      <c r="A13" s="228"/>
      <c r="B13" s="228"/>
      <c r="C13" s="233" t="s">
        <v>280</v>
      </c>
      <c r="D13" s="230">
        <f>D7+D11</f>
        <v>300</v>
      </c>
      <c r="E13" s="230">
        <f>E7+E11</f>
        <v>300</v>
      </c>
      <c r="F13" s="231">
        <v>0.4</v>
      </c>
      <c r="G13" s="228"/>
      <c r="H13" s="230">
        <f>H7+H11</f>
        <v>500</v>
      </c>
      <c r="I13" s="230">
        <f>I7+I11</f>
        <v>500</v>
      </c>
      <c r="J13" s="231">
        <f>(H13-D13)/D13</f>
        <v>0.66666666666666663</v>
      </c>
      <c r="K13" s="228"/>
      <c r="L13" s="230">
        <f>L7+L11</f>
        <v>700</v>
      </c>
      <c r="M13" s="230">
        <f>M7+M11</f>
        <v>500</v>
      </c>
      <c r="N13" s="231">
        <f>(L13-H13)/H13</f>
        <v>0.4</v>
      </c>
      <c r="O13" s="228"/>
      <c r="P13" s="230">
        <f>P7+P11</f>
        <v>1000</v>
      </c>
      <c r="Q13" s="230">
        <f>Q7+Q11</f>
        <v>500</v>
      </c>
      <c r="R13" s="231">
        <f>(P13-L13)/L13</f>
        <v>0.42857142857142855</v>
      </c>
      <c r="S13" s="228"/>
      <c r="T13" s="230">
        <f>T7+T11</f>
        <v>1200</v>
      </c>
      <c r="U13" s="230">
        <f>U7+U11</f>
        <v>500</v>
      </c>
      <c r="V13" s="231">
        <f>(T13-P13)/P13</f>
        <v>0.2</v>
      </c>
      <c r="W13" s="228"/>
      <c r="X13" s="230">
        <f>X7+X11</f>
        <v>1200</v>
      </c>
      <c r="Y13" s="230">
        <f>Y7+Y11</f>
        <v>1200</v>
      </c>
      <c r="Z13" s="231">
        <f>(X13-T13)/T13</f>
        <v>0</v>
      </c>
      <c r="AA13" s="228"/>
      <c r="AB13" s="230">
        <f>AB7+AB11</f>
        <v>1200</v>
      </c>
      <c r="AC13" s="230">
        <f>AC7+AC11</f>
        <v>1200</v>
      </c>
      <c r="AD13" s="231">
        <f>(AB13-X13)/X13</f>
        <v>0</v>
      </c>
      <c r="AE13" s="228"/>
      <c r="AF13" s="230">
        <f>AF7+AF11</f>
        <v>1200</v>
      </c>
      <c r="AG13" s="230">
        <f>AG7+AG11</f>
        <v>1200</v>
      </c>
      <c r="AH13" s="230">
        <f>AH7+AH11</f>
        <v>1200</v>
      </c>
      <c r="AI13" s="231">
        <f>(AG13-AB13)/AB13</f>
        <v>0</v>
      </c>
      <c r="AJ13" s="231"/>
      <c r="AK13" s="402">
        <f>AK7+AK11</f>
        <v>1200</v>
      </c>
      <c r="AL13" s="402">
        <f>AL7+AL11</f>
        <v>0</v>
      </c>
      <c r="AM13" s="231">
        <f>(AK13-AG13)/AG13</f>
        <v>0</v>
      </c>
      <c r="AN13" s="228"/>
      <c r="AO13" s="232">
        <f>SUM(AO7+AO11)</f>
        <v>1200</v>
      </c>
      <c r="AP13" s="232">
        <f>SUM(AP7+AP11)</f>
        <v>0</v>
      </c>
      <c r="AQ13" s="231">
        <f>(AO13-AK13)/AK13</f>
        <v>0</v>
      </c>
      <c r="AR13" s="233"/>
    </row>
    <row r="14" spans="1:44" x14ac:dyDescent="0.25">
      <c r="D14" s="120"/>
      <c r="H14" s="120"/>
      <c r="L14" s="120"/>
      <c r="P14" s="120"/>
      <c r="T14" s="120"/>
      <c r="X14" s="120"/>
      <c r="AB14" s="120"/>
      <c r="AF14" s="120"/>
      <c r="AG14" s="120"/>
      <c r="AK14" s="403"/>
    </row>
    <row r="15" spans="1:44" s="111" customFormat="1" thickBot="1" x14ac:dyDescent="0.25">
      <c r="C15" s="111" t="s">
        <v>281</v>
      </c>
      <c r="D15" s="122"/>
      <c r="E15" s="121">
        <f>D13-E13</f>
        <v>0</v>
      </c>
      <c r="G15" s="118"/>
      <c r="H15" s="122"/>
      <c r="I15" s="121">
        <f>H13-I13</f>
        <v>0</v>
      </c>
      <c r="K15" s="118"/>
      <c r="L15" s="122"/>
      <c r="M15" s="121">
        <f>L13-M13</f>
        <v>200</v>
      </c>
      <c r="O15" s="118"/>
      <c r="P15" s="122"/>
      <c r="Q15" s="121">
        <f>P13-Q13</f>
        <v>500</v>
      </c>
      <c r="S15" s="118"/>
      <c r="T15" s="122"/>
      <c r="U15" s="121">
        <f>T13-U13</f>
        <v>700</v>
      </c>
      <c r="W15" s="118"/>
      <c r="X15" s="122"/>
      <c r="Y15" s="121">
        <f>X13-Y13</f>
        <v>0</v>
      </c>
      <c r="AA15" s="118"/>
      <c r="AB15" s="122"/>
      <c r="AC15" s="121">
        <f>AB13-AC13</f>
        <v>0</v>
      </c>
      <c r="AE15" s="118"/>
      <c r="AF15" s="122"/>
      <c r="AG15" s="122"/>
      <c r="AH15" s="121">
        <f>AF13-AH13</f>
        <v>0</v>
      </c>
      <c r="AK15" s="122"/>
      <c r="AL15" s="121">
        <f>AK13-AL13</f>
        <v>1200</v>
      </c>
      <c r="AN15" s="118"/>
      <c r="AO15" s="123"/>
      <c r="AP15" s="123"/>
    </row>
    <row r="16" spans="1:44" ht="14.25" thickTop="1" x14ac:dyDescent="0.25">
      <c r="D16" s="120"/>
      <c r="F16" s="216"/>
      <c r="H16" s="120"/>
      <c r="J16" s="216"/>
      <c r="L16" s="120"/>
      <c r="N16" s="216"/>
      <c r="P16" s="120"/>
      <c r="R16" s="216"/>
      <c r="T16" s="120"/>
      <c r="V16" s="80"/>
      <c r="X16" s="120"/>
      <c r="AB16" s="120"/>
      <c r="AF16" s="120"/>
      <c r="AG16" s="120"/>
      <c r="AK16" s="403"/>
    </row>
    <row r="17" spans="4:37" x14ac:dyDescent="0.25">
      <c r="D17" s="120"/>
      <c r="F17" s="216"/>
      <c r="H17" s="120"/>
      <c r="J17" s="216"/>
      <c r="L17" s="120"/>
      <c r="N17" s="216"/>
      <c r="P17" s="120"/>
      <c r="R17" s="216"/>
      <c r="T17" s="120"/>
      <c r="V17" s="80"/>
      <c r="X17" s="120"/>
      <c r="AB17" s="120"/>
      <c r="AF17" s="120"/>
      <c r="AG17" s="120"/>
      <c r="AK17" s="403"/>
    </row>
    <row r="18" spans="4:37" x14ac:dyDescent="0.25">
      <c r="D18" s="120"/>
      <c r="F18" s="216"/>
      <c r="H18" s="120"/>
      <c r="J18" s="216"/>
      <c r="L18" s="120"/>
      <c r="N18" s="216"/>
      <c r="P18" s="120"/>
      <c r="R18" s="216"/>
      <c r="T18" s="120"/>
      <c r="V18" s="80"/>
      <c r="X18" s="120"/>
      <c r="AB18" s="120"/>
      <c r="AF18" s="120"/>
      <c r="AG18" s="120"/>
      <c r="AK18" s="403"/>
    </row>
    <row r="19" spans="4:37" x14ac:dyDescent="0.25">
      <c r="D19" s="120"/>
      <c r="F19" s="216"/>
      <c r="H19" s="120"/>
      <c r="J19" s="216"/>
      <c r="L19" s="120"/>
      <c r="N19" s="216"/>
      <c r="P19" s="120"/>
      <c r="R19" s="216"/>
      <c r="T19" s="120"/>
      <c r="V19" s="80"/>
      <c r="X19" s="120"/>
      <c r="AB19" s="120"/>
      <c r="AF19" s="120"/>
      <c r="AG19" s="120"/>
      <c r="AK19" s="403"/>
    </row>
    <row r="20" spans="4:37" x14ac:dyDescent="0.25">
      <c r="D20" s="120"/>
      <c r="F20" s="216"/>
      <c r="H20" s="120"/>
      <c r="J20" s="216"/>
      <c r="L20" s="120"/>
      <c r="N20" s="216"/>
      <c r="P20" s="120"/>
      <c r="R20" s="216"/>
      <c r="T20" s="120"/>
      <c r="V20" s="80"/>
      <c r="X20" s="120"/>
      <c r="AB20" s="120"/>
      <c r="AF20" s="120"/>
      <c r="AG20" s="120"/>
      <c r="AK20" s="403"/>
    </row>
    <row r="21" spans="4:37" x14ac:dyDescent="0.25">
      <c r="D21" s="120"/>
      <c r="F21" s="216"/>
      <c r="H21" s="120"/>
      <c r="J21" s="216"/>
      <c r="L21" s="120"/>
      <c r="N21" s="216"/>
      <c r="P21" s="120"/>
      <c r="R21" s="216"/>
      <c r="T21" s="120"/>
      <c r="V21" s="80"/>
      <c r="X21" s="120"/>
      <c r="AB21" s="120"/>
      <c r="AF21" s="120"/>
      <c r="AG21" s="120"/>
      <c r="AK21" s="403"/>
    </row>
    <row r="22" spans="4:37" x14ac:dyDescent="0.25">
      <c r="D22" s="120"/>
      <c r="F22" s="216"/>
      <c r="H22" s="120"/>
      <c r="J22" s="216"/>
      <c r="L22" s="120"/>
      <c r="N22" s="216"/>
      <c r="P22" s="120"/>
      <c r="R22" s="216"/>
      <c r="T22" s="120"/>
      <c r="V22" s="80"/>
      <c r="X22" s="120"/>
      <c r="AB22" s="120"/>
      <c r="AF22" s="120"/>
      <c r="AG22" s="120"/>
      <c r="AK22" s="403"/>
    </row>
    <row r="23" spans="4:37" x14ac:dyDescent="0.25">
      <c r="D23" s="120"/>
      <c r="F23" s="216"/>
      <c r="H23" s="120"/>
      <c r="J23" s="216"/>
      <c r="L23" s="120"/>
      <c r="N23" s="216"/>
      <c r="P23" s="120"/>
      <c r="R23" s="216"/>
      <c r="T23" s="120"/>
      <c r="V23" s="80"/>
      <c r="X23" s="120"/>
      <c r="AB23" s="120"/>
      <c r="AF23" s="120"/>
      <c r="AG23" s="120"/>
      <c r="AK23" s="403"/>
    </row>
    <row r="24" spans="4:37" x14ac:dyDescent="0.25">
      <c r="D24" s="120"/>
      <c r="F24" s="216"/>
      <c r="H24" s="120"/>
      <c r="J24" s="216"/>
      <c r="L24" s="120"/>
      <c r="N24" s="216"/>
      <c r="P24" s="120"/>
      <c r="R24" s="216"/>
      <c r="T24" s="120"/>
      <c r="V24" s="80"/>
      <c r="X24" s="120"/>
      <c r="AB24" s="120"/>
      <c r="AF24" s="120"/>
      <c r="AG24" s="120"/>
      <c r="AK24" s="403"/>
    </row>
    <row r="25" spans="4:37" x14ac:dyDescent="0.25">
      <c r="D25" s="120"/>
      <c r="F25" s="216"/>
      <c r="H25" s="120"/>
      <c r="J25" s="216"/>
      <c r="L25" s="120"/>
      <c r="N25" s="216"/>
      <c r="P25" s="120"/>
      <c r="R25" s="216"/>
      <c r="T25" s="120"/>
      <c r="V25" s="80"/>
      <c r="X25" s="120"/>
      <c r="AB25" s="120"/>
      <c r="AF25" s="120"/>
      <c r="AG25" s="120"/>
      <c r="AK25" s="403"/>
    </row>
    <row r="26" spans="4:37" x14ac:dyDescent="0.25">
      <c r="D26" s="120"/>
      <c r="F26" s="216"/>
      <c r="H26" s="120"/>
      <c r="J26" s="216"/>
      <c r="L26" s="120"/>
      <c r="N26" s="216"/>
      <c r="P26" s="120"/>
      <c r="R26" s="216"/>
      <c r="T26" s="120"/>
      <c r="V26" s="80"/>
      <c r="X26" s="120"/>
      <c r="AB26" s="120"/>
      <c r="AF26" s="120"/>
      <c r="AG26" s="120"/>
      <c r="AK26" s="403"/>
    </row>
    <row r="27" spans="4:37" x14ac:dyDescent="0.25">
      <c r="D27" s="120"/>
      <c r="F27" s="216"/>
      <c r="H27" s="120"/>
      <c r="J27" s="216"/>
      <c r="L27" s="120"/>
      <c r="N27" s="216"/>
      <c r="P27" s="120"/>
      <c r="R27" s="216"/>
      <c r="T27" s="120"/>
      <c r="V27" s="80"/>
      <c r="X27" s="120"/>
      <c r="AB27" s="120"/>
      <c r="AF27" s="120"/>
      <c r="AG27" s="120"/>
      <c r="AK27" s="403"/>
    </row>
    <row r="28" spans="4:37" x14ac:dyDescent="0.25">
      <c r="D28" s="120"/>
      <c r="F28" s="216"/>
      <c r="H28" s="120"/>
      <c r="J28" s="216"/>
      <c r="L28" s="120"/>
      <c r="N28" s="216"/>
      <c r="P28" s="120"/>
      <c r="R28" s="216"/>
      <c r="T28" s="120"/>
      <c r="V28" s="80"/>
      <c r="X28" s="120"/>
      <c r="AB28" s="120"/>
      <c r="AF28" s="120"/>
      <c r="AG28" s="120"/>
      <c r="AK28" s="403"/>
    </row>
    <row r="29" spans="4:37" x14ac:dyDescent="0.25">
      <c r="D29" s="120"/>
      <c r="F29" s="216"/>
      <c r="H29" s="120"/>
      <c r="J29" s="216"/>
      <c r="L29" s="120"/>
      <c r="N29" s="216"/>
      <c r="P29" s="120"/>
      <c r="R29" s="216"/>
      <c r="T29" s="120"/>
      <c r="V29" s="80"/>
      <c r="X29" s="120"/>
      <c r="AB29" s="120"/>
      <c r="AF29" s="120"/>
      <c r="AG29" s="120"/>
      <c r="AK29" s="403"/>
    </row>
    <row r="30" spans="4:37" x14ac:dyDescent="0.25">
      <c r="D30" s="120"/>
      <c r="F30" s="216"/>
      <c r="H30" s="120"/>
      <c r="J30" s="216"/>
      <c r="L30" s="120"/>
      <c r="N30" s="216"/>
      <c r="P30" s="120"/>
      <c r="R30" s="216"/>
      <c r="T30" s="120"/>
      <c r="V30" s="80"/>
      <c r="X30" s="120"/>
      <c r="AB30" s="120"/>
      <c r="AF30" s="120"/>
      <c r="AG30" s="120"/>
      <c r="AK30" s="403"/>
    </row>
    <row r="31" spans="4:37" x14ac:dyDescent="0.25">
      <c r="D31" s="120"/>
      <c r="F31" s="216"/>
      <c r="H31" s="120"/>
      <c r="J31" s="216"/>
      <c r="L31" s="120"/>
      <c r="N31" s="216"/>
      <c r="P31" s="120"/>
      <c r="R31" s="216"/>
      <c r="T31" s="120"/>
      <c r="V31" s="80"/>
      <c r="X31" s="120"/>
      <c r="AB31" s="120"/>
      <c r="AF31" s="120"/>
      <c r="AG31" s="120"/>
      <c r="AK31" s="403"/>
    </row>
    <row r="32" spans="4:37" x14ac:dyDescent="0.25">
      <c r="D32" s="120"/>
      <c r="F32" s="216"/>
      <c r="H32" s="120"/>
      <c r="J32" s="216"/>
      <c r="L32" s="120"/>
      <c r="N32" s="216"/>
      <c r="P32" s="120"/>
      <c r="R32" s="216"/>
      <c r="T32" s="120"/>
      <c r="V32" s="80"/>
      <c r="X32" s="120"/>
      <c r="AB32" s="120"/>
      <c r="AF32" s="120"/>
      <c r="AG32" s="120"/>
      <c r="AK32" s="403"/>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F38" s="216"/>
      <c r="H38" s="120"/>
      <c r="J38" s="216"/>
      <c r="L38" s="120"/>
      <c r="N38" s="216"/>
      <c r="P38" s="120"/>
      <c r="R38" s="216"/>
      <c r="T38" s="120"/>
      <c r="V38" s="80"/>
      <c r="X38" s="120"/>
      <c r="AB38" s="120"/>
      <c r="AF38" s="120"/>
      <c r="AG38" s="120"/>
      <c r="AK38" s="403"/>
    </row>
    <row r="39" spans="4:37" x14ac:dyDescent="0.25">
      <c r="D39" s="120"/>
      <c r="F39" s="216"/>
      <c r="H39" s="120"/>
      <c r="J39" s="216"/>
      <c r="L39" s="120"/>
      <c r="N39" s="216"/>
      <c r="P39" s="120"/>
      <c r="R39" s="216"/>
      <c r="T39" s="120"/>
      <c r="V39" s="8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8" orientation="landscape" copies="15" r:id="rId1"/>
  <headerFooter alignWithMargins="0">
    <oddHeader>&amp;C&amp;"-,Bold"Proposed Budget &amp; Analysis Report for FY20</oddHeader>
    <oddFooter>&amp;C&amp;D&amp;T&amp;R&amp;A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3:BA387"/>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2.42578125" style="161" customWidth="1"/>
    <col min="4" max="5" width="11.5703125" style="211" hidden="1" customWidth="1"/>
    <col min="6" max="6" width="7.28515625" style="211" hidden="1" customWidth="1"/>
    <col min="7" max="7" width="1.5703125" style="213" hidden="1" customWidth="1"/>
    <col min="8" max="9" width="11.5703125" style="211" hidden="1" customWidth="1"/>
    <col min="10" max="10" width="7.7109375" style="211" hidden="1" customWidth="1"/>
    <col min="11" max="11" width="1.5703125" style="213" hidden="1" customWidth="1"/>
    <col min="12" max="13" width="11.5703125" style="211" hidden="1" customWidth="1"/>
    <col min="14" max="14" width="8.28515625" style="211" hidden="1" customWidth="1"/>
    <col min="15" max="15" width="1.5703125" style="213" hidden="1" customWidth="1"/>
    <col min="16" max="17" width="11.5703125" style="211" hidden="1" customWidth="1"/>
    <col min="18" max="18" width="8.28515625" style="211" hidden="1" customWidth="1"/>
    <col min="19" max="19" width="1.5703125" style="213" hidden="1" customWidth="1"/>
    <col min="20" max="21" width="11.5703125" style="161" hidden="1" customWidth="1"/>
    <col min="22" max="22" width="9.28515625" style="161" hidden="1" customWidth="1"/>
    <col min="23" max="23" width="1.5703125" style="103" hidden="1" customWidth="1"/>
    <col min="24" max="25" width="11.5703125" style="161" hidden="1" customWidth="1"/>
    <col min="26" max="26" width="9.28515625" style="161" hidden="1" customWidth="1"/>
    <col min="27" max="27" width="1.5703125" style="103" hidden="1" customWidth="1"/>
    <col min="28" max="29" width="11.5703125" style="161" customWidth="1"/>
    <col min="30" max="30" width="9.28515625" style="161" bestFit="1" customWidth="1"/>
    <col min="31" max="31" width="1.5703125" style="213"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1.5703125" style="397" customWidth="1"/>
    <col min="41" max="41" width="13.5703125" style="104" customWidth="1"/>
    <col min="42" max="42" width="12.28515625" style="104" bestFit="1" customWidth="1"/>
    <col min="43" max="43" width="11.5703125" style="161" bestFit="1" customWidth="1"/>
    <col min="44" max="44" width="28.140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1977</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668</v>
      </c>
      <c r="B6" s="119" t="str">
        <f>MID(A6,14,4)</f>
        <v>5132</v>
      </c>
      <c r="C6" s="161" t="s">
        <v>1793</v>
      </c>
      <c r="D6" s="245">
        <v>53620</v>
      </c>
      <c r="E6" s="245">
        <v>53620</v>
      </c>
      <c r="F6" s="216"/>
      <c r="H6" s="245">
        <v>56940</v>
      </c>
      <c r="I6" s="245">
        <v>56940</v>
      </c>
      <c r="J6" s="216">
        <v>6.1917195076464003E-2</v>
      </c>
      <c r="L6" s="245">
        <v>60656.4</v>
      </c>
      <c r="M6" s="245">
        <v>0</v>
      </c>
      <c r="N6" s="216">
        <v>6.5268703898840916E-2</v>
      </c>
      <c r="P6" s="245">
        <v>64247.76</v>
      </c>
      <c r="Q6" s="245">
        <v>64247.82</v>
      </c>
      <c r="R6" s="216">
        <v>5.9208261617900181E-2</v>
      </c>
      <c r="T6" s="162">
        <v>67609.440000000002</v>
      </c>
      <c r="U6" s="162">
        <v>67609.36</v>
      </c>
      <c r="V6" s="216">
        <v>5.2323691907702308E-2</v>
      </c>
      <c r="X6" s="162">
        <v>68747.59</v>
      </c>
      <c r="Y6" s="162">
        <v>68747.59</v>
      </c>
      <c r="Z6" s="216">
        <v>1.683418765190178E-2</v>
      </c>
      <c r="AB6" s="162">
        <v>69175.44</v>
      </c>
      <c r="AC6" s="162">
        <v>69175.44</v>
      </c>
      <c r="AD6" s="216">
        <f>(AB6-X6)/X6</f>
        <v>6.223490888917064E-3</v>
      </c>
      <c r="AF6" s="163">
        <v>69864.479999999996</v>
      </c>
      <c r="AG6" s="380">
        <v>73936.08</v>
      </c>
      <c r="AH6" s="245">
        <v>73936.08</v>
      </c>
      <c r="AI6" s="216">
        <f>(AG6-AB6)/AB6</f>
        <v>6.8819800784787194E-2</v>
      </c>
      <c r="AJ6" s="80"/>
      <c r="AK6" s="398">
        <v>77986.8</v>
      </c>
      <c r="AL6" s="398">
        <v>37350</v>
      </c>
      <c r="AM6" s="396">
        <f>(AK6-AG6)/AG6</f>
        <v>5.4786783394521338E-2</v>
      </c>
      <c r="AO6" s="163">
        <f>'FY20 Payroll Schedule'!J94</f>
        <v>82496.87999999999</v>
      </c>
      <c r="AP6" s="245">
        <f>AO6-AK6</f>
        <v>4510.0799999999872</v>
      </c>
      <c r="AQ6" s="396">
        <f>(AO6-AK6)/AK6</f>
        <v>5.7831325301204654E-2</v>
      </c>
      <c r="AR6" s="400" t="s">
        <v>1869</v>
      </c>
    </row>
    <row r="7" spans="1:44" x14ac:dyDescent="0.25">
      <c r="A7" s="119" t="s">
        <v>669</v>
      </c>
      <c r="B7" s="119" t="str">
        <f>MID(A7,14,4)</f>
        <v>5133</v>
      </c>
      <c r="C7" s="161" t="s">
        <v>1794</v>
      </c>
      <c r="D7" s="245">
        <v>15719.96</v>
      </c>
      <c r="E7" s="245">
        <v>15719.96</v>
      </c>
      <c r="F7" s="216"/>
      <c r="H7" s="245">
        <v>15946</v>
      </c>
      <c r="I7" s="245">
        <v>15919.95</v>
      </c>
      <c r="J7" s="216">
        <v>1.4379171448273461E-2</v>
      </c>
      <c r="L7" s="245">
        <v>16421.080000000002</v>
      </c>
      <c r="M7" s="245">
        <v>16200.87</v>
      </c>
      <c r="N7" s="216">
        <v>2.9793051548977909E-2</v>
      </c>
      <c r="P7" s="245">
        <v>17393.04</v>
      </c>
      <c r="Q7" s="245">
        <v>10183.950000000001</v>
      </c>
      <c r="R7" s="216">
        <v>5.9189773145249827E-2</v>
      </c>
      <c r="T7" s="245">
        <v>10468.799999999999</v>
      </c>
      <c r="U7" s="245">
        <v>5817.9</v>
      </c>
      <c r="V7" s="216">
        <v>-0.39810406921389252</v>
      </c>
      <c r="W7" s="213"/>
      <c r="X7" s="245">
        <v>11356.21</v>
      </c>
      <c r="Y7" s="245">
        <v>11356.21</v>
      </c>
      <c r="Z7" s="216">
        <v>8.4767117530184927E-2</v>
      </c>
      <c r="AA7" s="213"/>
      <c r="AB7" s="245">
        <v>36127.620000000003</v>
      </c>
      <c r="AC7" s="245">
        <v>36124.92</v>
      </c>
      <c r="AD7" s="216">
        <f>(AB7-X7)/X7</f>
        <v>2.1813096094559721</v>
      </c>
      <c r="AF7" s="163">
        <v>36503.46</v>
      </c>
      <c r="AG7" s="380">
        <v>36581.760000000002</v>
      </c>
      <c r="AH7" s="245">
        <v>36581.360000000001</v>
      </c>
      <c r="AI7" s="216">
        <f t="shared" ref="AI7:AI28" si="0">(AG7-AB7)/AB7</f>
        <v>1.2570437798006052E-2</v>
      </c>
      <c r="AJ7" s="80"/>
      <c r="AK7" s="398">
        <v>38570.58</v>
      </c>
      <c r="AL7" s="398">
        <v>20196.599999999999</v>
      </c>
      <c r="AM7" s="396">
        <f>(AK7-AG7)/AG7</f>
        <v>5.4366438356164372E-2</v>
      </c>
      <c r="AO7" s="163">
        <f>'FY20 Payroll Schedule'!J95</f>
        <v>40809.96</v>
      </c>
      <c r="AP7" s="398">
        <f>AO7-AK7</f>
        <v>2239.3799999999974</v>
      </c>
      <c r="AQ7" s="396">
        <f>(AO7-AK7)/AK7</f>
        <v>5.8059277304100619E-2</v>
      </c>
      <c r="AR7" s="400" t="s">
        <v>1870</v>
      </c>
    </row>
    <row r="8" spans="1:44" x14ac:dyDescent="0.25">
      <c r="A8" s="395" t="s">
        <v>1422</v>
      </c>
      <c r="B8" s="119">
        <v>5142</v>
      </c>
      <c r="C8" s="161" t="s">
        <v>1455</v>
      </c>
      <c r="D8" s="245">
        <v>0</v>
      </c>
      <c r="E8" s="245">
        <v>0</v>
      </c>
      <c r="F8" s="216"/>
      <c r="H8" s="245">
        <v>0</v>
      </c>
      <c r="I8" s="245">
        <v>0</v>
      </c>
      <c r="J8" s="216"/>
      <c r="L8" s="245">
        <v>0</v>
      </c>
      <c r="M8" s="245">
        <v>0</v>
      </c>
      <c r="N8" s="216"/>
      <c r="P8" s="245">
        <v>0</v>
      </c>
      <c r="Q8" s="245">
        <v>0</v>
      </c>
      <c r="R8" s="216"/>
      <c r="T8" s="245">
        <v>0</v>
      </c>
      <c r="U8" s="245">
        <v>0</v>
      </c>
      <c r="V8" s="216"/>
      <c r="W8" s="213"/>
      <c r="X8" s="245">
        <v>0</v>
      </c>
      <c r="Y8" s="245">
        <v>0</v>
      </c>
      <c r="Z8" s="216"/>
      <c r="AA8" s="213"/>
      <c r="AB8" s="399"/>
      <c r="AC8" s="245">
        <v>684.86</v>
      </c>
      <c r="AD8" s="216"/>
      <c r="AF8" s="294">
        <v>698.64</v>
      </c>
      <c r="AG8" s="380">
        <v>739.57</v>
      </c>
      <c r="AH8" s="245">
        <v>739.36</v>
      </c>
      <c r="AI8" s="216" t="e">
        <f>(AG8-AB8)/AB8</f>
        <v>#DIV/0!</v>
      </c>
      <c r="AJ8" s="80"/>
      <c r="AK8" s="399">
        <v>779.87</v>
      </c>
      <c r="AL8" s="398">
        <v>0</v>
      </c>
      <c r="AM8" s="396">
        <f>(AK8-AG8)/AG8</f>
        <v>5.4491123220249536E-2</v>
      </c>
      <c r="AO8" s="163">
        <f>'FY20 Payroll Schedule'!K94</f>
        <v>824.96879999999987</v>
      </c>
      <c r="AP8" s="398">
        <f>AO8-AK8</f>
        <v>45.098799999999869</v>
      </c>
      <c r="AQ8" s="396">
        <f>(AO8-AK8)/AK8</f>
        <v>5.7828612461051032E-2</v>
      </c>
      <c r="AR8" s="166"/>
    </row>
    <row r="9" spans="1:44" s="114" customFormat="1" x14ac:dyDescent="0.25">
      <c r="A9" s="224"/>
      <c r="B9" s="224"/>
      <c r="C9" s="224" t="s">
        <v>26</v>
      </c>
      <c r="D9" s="225">
        <f>SUM(D6:D8)</f>
        <v>69339.959999999992</v>
      </c>
      <c r="E9" s="225">
        <f>SUM(E6:E8)</f>
        <v>69339.959999999992</v>
      </c>
      <c r="F9" s="226">
        <v>2.98E-2</v>
      </c>
      <c r="G9" s="224"/>
      <c r="H9" s="225">
        <f>SUM(H6:H8)</f>
        <v>72886</v>
      </c>
      <c r="I9" s="225">
        <f>SUM(I6:I8)</f>
        <v>72859.95</v>
      </c>
      <c r="J9" s="226">
        <f>(H9-D9)/D9</f>
        <v>5.1139919896117741E-2</v>
      </c>
      <c r="K9" s="224"/>
      <c r="L9" s="225">
        <f>SUM(L6:L8)</f>
        <v>77077.48000000001</v>
      </c>
      <c r="M9" s="225">
        <f>SUM(M6:M8)</f>
        <v>16200.87</v>
      </c>
      <c r="N9" s="226">
        <f>(L9-H9)/H9</f>
        <v>5.750734022994828E-2</v>
      </c>
      <c r="O9" s="224"/>
      <c r="P9" s="225">
        <f>SUM(P6:P8)</f>
        <v>81640.800000000003</v>
      </c>
      <c r="Q9" s="225">
        <f>SUM(Q6:Q8)</f>
        <v>74431.77</v>
      </c>
      <c r="R9" s="226">
        <f>(P9-L9)/L9</f>
        <v>5.9204322715272886E-2</v>
      </c>
      <c r="S9" s="224"/>
      <c r="T9" s="225">
        <f>SUM(T6:T8)</f>
        <v>78078.240000000005</v>
      </c>
      <c r="U9" s="225">
        <f>SUM(U6:U8)</f>
        <v>73427.259999999995</v>
      </c>
      <c r="V9" s="226">
        <f>(T9-P9)/P9</f>
        <v>-4.3637005026898289E-2</v>
      </c>
      <c r="W9" s="224"/>
      <c r="X9" s="225">
        <f>SUM(X6:X8)</f>
        <v>80103.799999999988</v>
      </c>
      <c r="Y9" s="225">
        <f>SUM(Y6:Y8)</f>
        <v>80103.799999999988</v>
      </c>
      <c r="Z9" s="226">
        <f>(X9-T9)/T9</f>
        <v>2.5942695429609877E-2</v>
      </c>
      <c r="AA9" s="224"/>
      <c r="AB9" s="225">
        <f>SUM(AB6:AB8)</f>
        <v>105303.06</v>
      </c>
      <c r="AC9" s="225">
        <f>SUM(AC6:AC8)</f>
        <v>105985.22</v>
      </c>
      <c r="AD9" s="226">
        <f>(AB9-X9)/X9</f>
        <v>0.3145825791036132</v>
      </c>
      <c r="AE9" s="224"/>
      <c r="AF9" s="227">
        <f>SUM(AF6:AF8)</f>
        <v>107066.58</v>
      </c>
      <c r="AG9" s="381">
        <f>SUM(AG6:AG8)</f>
        <v>111257.41</v>
      </c>
      <c r="AH9" s="225">
        <f>SUM(AH6:AH8)</f>
        <v>111256.8</v>
      </c>
      <c r="AI9" s="226">
        <f>(AG9-AB9)/AB9</f>
        <v>5.6544890528347477E-2</v>
      </c>
      <c r="AJ9" s="226"/>
      <c r="AK9" s="225">
        <f>SUM(AK6:AK8)</f>
        <v>117337.25</v>
      </c>
      <c r="AL9" s="225">
        <f>SUM(AL6:AL8)</f>
        <v>57546.6</v>
      </c>
      <c r="AM9" s="226">
        <f>(AK9-AG9)/AG9</f>
        <v>5.4646607358557031E-2</v>
      </c>
      <c r="AN9" s="224"/>
      <c r="AO9" s="227">
        <f>SUM(AO6:AO8)</f>
        <v>124131.8088</v>
      </c>
      <c r="AP9" s="225">
        <f>SUM(AP6:AP8)</f>
        <v>6794.5587999999843</v>
      </c>
      <c r="AQ9" s="226">
        <f>(AO9-AK9)/AK9</f>
        <v>5.7906238641181711E-2</v>
      </c>
      <c r="AR9" s="224"/>
    </row>
    <row r="10" spans="1:44" x14ac:dyDescent="0.25">
      <c r="D10" s="112"/>
      <c r="E10" s="112"/>
      <c r="F10" s="216"/>
      <c r="H10" s="112"/>
      <c r="I10" s="112"/>
      <c r="J10" s="216"/>
      <c r="L10" s="112"/>
      <c r="M10" s="112"/>
      <c r="N10" s="216"/>
      <c r="P10" s="112"/>
      <c r="Q10" s="112"/>
      <c r="R10" s="216"/>
      <c r="T10" s="112"/>
      <c r="U10" s="112"/>
      <c r="V10" s="216"/>
      <c r="X10" s="112"/>
      <c r="Y10" s="112"/>
      <c r="Z10" s="216"/>
      <c r="AB10" s="112"/>
      <c r="AC10" s="112"/>
      <c r="AD10" s="216"/>
      <c r="AF10" s="212"/>
      <c r="AG10" s="212"/>
      <c r="AH10" s="112"/>
      <c r="AI10" s="216"/>
      <c r="AJ10" s="80"/>
      <c r="AK10" s="112"/>
      <c r="AL10" s="112"/>
      <c r="AM10" s="396"/>
      <c r="AP10" s="112"/>
      <c r="AQ10" s="396"/>
    </row>
    <row r="11" spans="1:44" x14ac:dyDescent="0.25">
      <c r="C11" s="111" t="s">
        <v>277</v>
      </c>
      <c r="D11" s="112"/>
      <c r="E11" s="245"/>
      <c r="F11" s="216"/>
      <c r="H11" s="112"/>
      <c r="I11" s="245"/>
      <c r="J11" s="216"/>
      <c r="L11" s="112"/>
      <c r="M11" s="245"/>
      <c r="N11" s="216"/>
      <c r="P11" s="112"/>
      <c r="Q11" s="245"/>
      <c r="R11" s="216"/>
      <c r="T11" s="112"/>
      <c r="U11" s="162"/>
      <c r="V11" s="216"/>
      <c r="X11" s="112"/>
      <c r="Y11" s="162"/>
      <c r="Z11" s="216"/>
      <c r="AB11" s="112"/>
      <c r="AC11" s="162"/>
      <c r="AD11" s="216"/>
      <c r="AF11" s="112"/>
      <c r="AG11" s="112"/>
      <c r="AH11" s="245"/>
      <c r="AI11" s="216"/>
      <c r="AJ11" s="80"/>
      <c r="AK11" s="112"/>
      <c r="AL11" s="398"/>
      <c r="AM11" s="396"/>
      <c r="AP11" s="245"/>
      <c r="AQ11" s="396"/>
      <c r="AR11" s="111"/>
    </row>
    <row r="12" spans="1:44" x14ac:dyDescent="0.25">
      <c r="A12" s="119" t="s">
        <v>897</v>
      </c>
      <c r="B12" s="119" t="str">
        <f t="shared" ref="B12:B24" si="1">MID(A12,14,4)</f>
        <v>5210</v>
      </c>
      <c r="C12" s="161" t="s">
        <v>1626</v>
      </c>
      <c r="D12" s="245">
        <v>0</v>
      </c>
      <c r="E12" s="245">
        <v>0</v>
      </c>
      <c r="F12" s="216"/>
      <c r="H12" s="245">
        <v>0</v>
      </c>
      <c r="I12" s="245">
        <v>85.19</v>
      </c>
      <c r="J12" s="216" t="e">
        <v>#DIV/0!</v>
      </c>
      <c r="L12" s="245">
        <v>0</v>
      </c>
      <c r="M12" s="245">
        <v>0</v>
      </c>
      <c r="N12" s="216" t="e">
        <v>#DIV/0!</v>
      </c>
      <c r="P12" s="245">
        <v>200</v>
      </c>
      <c r="Q12" s="245">
        <v>135.91</v>
      </c>
      <c r="R12" s="216" t="e">
        <v>#DIV/0!</v>
      </c>
      <c r="T12" s="245">
        <v>0</v>
      </c>
      <c r="U12" s="245">
        <v>179.5</v>
      </c>
      <c r="V12" s="216">
        <v>-1</v>
      </c>
      <c r="W12" s="213"/>
      <c r="X12" s="245">
        <v>200</v>
      </c>
      <c r="Y12" s="245">
        <v>91.96</v>
      </c>
      <c r="Z12" s="216" t="e">
        <v>#DIV/0!</v>
      </c>
      <c r="AA12" s="213"/>
      <c r="AB12" s="245">
        <v>200</v>
      </c>
      <c r="AC12" s="245">
        <v>177.08</v>
      </c>
      <c r="AD12" s="216">
        <f t="shared" ref="AD12:AD27" si="2">(AB12-X12)/X12</f>
        <v>0</v>
      </c>
      <c r="AF12" s="245">
        <v>200</v>
      </c>
      <c r="AG12" s="245">
        <v>200</v>
      </c>
      <c r="AH12" s="245">
        <v>41.95</v>
      </c>
      <c r="AI12" s="216">
        <f t="shared" si="0"/>
        <v>0</v>
      </c>
      <c r="AJ12" s="80"/>
      <c r="AK12" s="398">
        <v>200</v>
      </c>
      <c r="AL12" s="398">
        <v>0</v>
      </c>
      <c r="AM12" s="396">
        <f t="shared" ref="AM12:AM27" si="3">(AK12-AG12)/AG12</f>
        <v>0</v>
      </c>
      <c r="AO12" s="163">
        <v>200</v>
      </c>
      <c r="AP12" s="398">
        <f t="shared" ref="AP12:AP27" si="4">AO12-AK12</f>
        <v>0</v>
      </c>
      <c r="AQ12" s="396">
        <f t="shared" ref="AQ12:AQ27" si="5">(AO12-AK12)/AK12</f>
        <v>0</v>
      </c>
      <c r="AR12" s="166"/>
    </row>
    <row r="13" spans="1:44" s="211" customFormat="1" x14ac:dyDescent="0.25">
      <c r="A13" s="211" t="s">
        <v>898</v>
      </c>
      <c r="B13" s="214" t="str">
        <f t="shared" si="1"/>
        <v>5260</v>
      </c>
      <c r="C13" s="211" t="s">
        <v>1795</v>
      </c>
      <c r="D13" s="245">
        <v>0</v>
      </c>
      <c r="E13" s="245">
        <v>0</v>
      </c>
      <c r="F13" s="216"/>
      <c r="G13" s="213"/>
      <c r="H13" s="245">
        <v>0</v>
      </c>
      <c r="I13" s="245">
        <v>133.52000000000001</v>
      </c>
      <c r="J13" s="216" t="e">
        <v>#DIV/0!</v>
      </c>
      <c r="K13" s="213"/>
      <c r="L13" s="245">
        <v>0</v>
      </c>
      <c r="M13" s="245">
        <v>476.24</v>
      </c>
      <c r="N13" s="216" t="e">
        <v>#DIV/0!</v>
      </c>
      <c r="O13" s="213"/>
      <c r="P13" s="245">
        <v>800</v>
      </c>
      <c r="Q13" s="245">
        <v>1058.95</v>
      </c>
      <c r="R13" s="216" t="e">
        <v>#DIV/0!</v>
      </c>
      <c r="S13" s="213"/>
      <c r="T13" s="245">
        <v>1200</v>
      </c>
      <c r="U13" s="245">
        <v>2319.73</v>
      </c>
      <c r="V13" s="216">
        <v>0.5</v>
      </c>
      <c r="W13" s="213"/>
      <c r="X13" s="245">
        <v>1200</v>
      </c>
      <c r="Y13" s="245">
        <v>3043.59</v>
      </c>
      <c r="Z13" s="216">
        <v>0</v>
      </c>
      <c r="AA13" s="213"/>
      <c r="AB13" s="245">
        <v>1200</v>
      </c>
      <c r="AC13" s="245">
        <v>2288.3200000000002</v>
      </c>
      <c r="AD13" s="216">
        <f t="shared" si="2"/>
        <v>0</v>
      </c>
      <c r="AE13" s="213"/>
      <c r="AF13" s="245">
        <v>1200</v>
      </c>
      <c r="AG13" s="245">
        <v>1200</v>
      </c>
      <c r="AH13" s="245">
        <v>1217.3399999999999</v>
      </c>
      <c r="AI13" s="216">
        <f t="shared" si="0"/>
        <v>0</v>
      </c>
      <c r="AJ13" s="216"/>
      <c r="AK13" s="398">
        <v>1600</v>
      </c>
      <c r="AL13" s="398">
        <v>330.92</v>
      </c>
      <c r="AM13" s="396">
        <f t="shared" si="3"/>
        <v>0.33333333333333331</v>
      </c>
      <c r="AN13" s="397"/>
      <c r="AO13" s="163">
        <v>1600</v>
      </c>
      <c r="AP13" s="398">
        <f t="shared" si="4"/>
        <v>0</v>
      </c>
      <c r="AQ13" s="396">
        <f t="shared" si="5"/>
        <v>0</v>
      </c>
      <c r="AR13" s="289"/>
    </row>
    <row r="14" spans="1:44" ht="14.25" x14ac:dyDescent="0.3">
      <c r="A14" s="161" t="s">
        <v>670</v>
      </c>
      <c r="B14" s="119" t="str">
        <f>MID(A14,14,4)</f>
        <v>5271</v>
      </c>
      <c r="C14" s="161" t="s">
        <v>1796</v>
      </c>
      <c r="D14" s="245">
        <v>3825.04</v>
      </c>
      <c r="E14" s="245">
        <v>1961.61</v>
      </c>
      <c r="F14" s="216"/>
      <c r="H14" s="245">
        <v>4000</v>
      </c>
      <c r="I14" s="245">
        <v>3931.07</v>
      </c>
      <c r="J14" s="216">
        <v>4.5740698136490086E-2</v>
      </c>
      <c r="L14" s="245">
        <v>3000</v>
      </c>
      <c r="M14" s="245">
        <v>4878.53</v>
      </c>
      <c r="N14" s="216">
        <v>-0.25</v>
      </c>
      <c r="P14" s="245">
        <v>3000</v>
      </c>
      <c r="Q14" s="245">
        <v>4583.32</v>
      </c>
      <c r="R14" s="216">
        <v>0</v>
      </c>
      <c r="T14" s="245">
        <v>0</v>
      </c>
      <c r="U14" s="245">
        <v>1970.44</v>
      </c>
      <c r="V14" s="216">
        <v>-1</v>
      </c>
      <c r="W14" s="213"/>
      <c r="X14" s="245">
        <v>75</v>
      </c>
      <c r="Y14" s="245">
        <v>3465.6</v>
      </c>
      <c r="Z14" s="216" t="e">
        <v>#DIV/0!</v>
      </c>
      <c r="AA14" s="213"/>
      <c r="AB14" s="245">
        <v>75</v>
      </c>
      <c r="AC14" s="245">
        <v>0</v>
      </c>
      <c r="AD14" s="216">
        <f t="shared" si="2"/>
        <v>0</v>
      </c>
      <c r="AF14" s="245">
        <v>75</v>
      </c>
      <c r="AG14" s="245">
        <v>75</v>
      </c>
      <c r="AH14" s="245">
        <v>307.38</v>
      </c>
      <c r="AI14" s="216">
        <f t="shared" si="0"/>
        <v>0</v>
      </c>
      <c r="AJ14" s="80"/>
      <c r="AK14" s="398"/>
      <c r="AL14" s="398"/>
      <c r="AM14" s="396">
        <f t="shared" si="3"/>
        <v>-1</v>
      </c>
      <c r="AO14" s="163"/>
      <c r="AP14" s="398">
        <f t="shared" si="4"/>
        <v>0</v>
      </c>
      <c r="AQ14" s="396" t="e">
        <f t="shared" si="5"/>
        <v>#DIV/0!</v>
      </c>
      <c r="AR14" s="280" t="s">
        <v>1174</v>
      </c>
    </row>
    <row r="15" spans="1:44" x14ac:dyDescent="0.25">
      <c r="A15" s="161" t="s">
        <v>671</v>
      </c>
      <c r="B15" s="119" t="str">
        <f t="shared" si="1"/>
        <v>5303</v>
      </c>
      <c r="C15" s="161" t="s">
        <v>1495</v>
      </c>
      <c r="D15" s="245">
        <v>1423</v>
      </c>
      <c r="E15" s="245">
        <v>1584.58</v>
      </c>
      <c r="F15" s="216"/>
      <c r="H15" s="245">
        <v>1423</v>
      </c>
      <c r="I15" s="245">
        <v>364</v>
      </c>
      <c r="J15" s="216">
        <v>0</v>
      </c>
      <c r="L15" s="245">
        <v>1200</v>
      </c>
      <c r="M15" s="245">
        <v>1324.16</v>
      </c>
      <c r="N15" s="216">
        <v>-0.15671117357695011</v>
      </c>
      <c r="P15" s="245">
        <v>1200</v>
      </c>
      <c r="Q15" s="245">
        <v>429</v>
      </c>
      <c r="R15" s="216">
        <v>0</v>
      </c>
      <c r="T15" s="245">
        <v>600</v>
      </c>
      <c r="U15" s="245">
        <v>2134.48</v>
      </c>
      <c r="V15" s="216">
        <v>-0.5</v>
      </c>
      <c r="W15" s="213"/>
      <c r="X15" s="245">
        <v>1200</v>
      </c>
      <c r="Y15" s="245">
        <v>1047.3499999999999</v>
      </c>
      <c r="Z15" s="216">
        <v>1</v>
      </c>
      <c r="AA15" s="213"/>
      <c r="AB15" s="245">
        <v>1200</v>
      </c>
      <c r="AC15" s="245">
        <v>262.58</v>
      </c>
      <c r="AD15" s="216">
        <f t="shared" si="2"/>
        <v>0</v>
      </c>
      <c r="AF15" s="245">
        <v>1200</v>
      </c>
      <c r="AG15" s="245">
        <v>1200</v>
      </c>
      <c r="AH15" s="245">
        <v>280</v>
      </c>
      <c r="AI15" s="216">
        <f t="shared" si="0"/>
        <v>0</v>
      </c>
      <c r="AJ15" s="80"/>
      <c r="AK15" s="398">
        <v>1200</v>
      </c>
      <c r="AL15" s="398">
        <v>110</v>
      </c>
      <c r="AM15" s="396">
        <f t="shared" si="3"/>
        <v>0</v>
      </c>
      <c r="AO15" s="163">
        <v>1200</v>
      </c>
      <c r="AP15" s="398">
        <f t="shared" si="4"/>
        <v>0</v>
      </c>
      <c r="AQ15" s="396">
        <f t="shared" si="5"/>
        <v>0</v>
      </c>
      <c r="AR15" s="159"/>
    </row>
    <row r="16" spans="1:44" s="211" customFormat="1" ht="14.25" x14ac:dyDescent="0.3">
      <c r="A16" s="211" t="s">
        <v>672</v>
      </c>
      <c r="B16" s="214" t="str">
        <f t="shared" si="1"/>
        <v>5306</v>
      </c>
      <c r="C16" s="211" t="s">
        <v>1599</v>
      </c>
      <c r="D16" s="245">
        <v>100</v>
      </c>
      <c r="E16" s="245">
        <v>54.5</v>
      </c>
      <c r="F16" s="216"/>
      <c r="G16" s="213"/>
      <c r="H16" s="245">
        <v>100</v>
      </c>
      <c r="I16" s="245">
        <v>0</v>
      </c>
      <c r="J16" s="216">
        <v>0</v>
      </c>
      <c r="K16" s="213"/>
      <c r="L16" s="245">
        <v>100</v>
      </c>
      <c r="M16" s="245">
        <v>97.35</v>
      </c>
      <c r="N16" s="216">
        <v>0</v>
      </c>
      <c r="O16" s="213"/>
      <c r="P16" s="245">
        <v>100</v>
      </c>
      <c r="Q16" s="245">
        <v>0</v>
      </c>
      <c r="R16" s="216">
        <v>0</v>
      </c>
      <c r="S16" s="213"/>
      <c r="T16" s="245">
        <v>0</v>
      </c>
      <c r="U16" s="245">
        <v>96.25</v>
      </c>
      <c r="V16" s="216">
        <v>-1</v>
      </c>
      <c r="W16" s="213"/>
      <c r="X16" s="245">
        <v>0</v>
      </c>
      <c r="Y16" s="245">
        <v>162.85</v>
      </c>
      <c r="Z16" s="216" t="e">
        <v>#DIV/0!</v>
      </c>
      <c r="AA16" s="213"/>
      <c r="AB16" s="245">
        <v>0</v>
      </c>
      <c r="AC16" s="245">
        <v>0</v>
      </c>
      <c r="AD16" s="216" t="e">
        <f t="shared" si="2"/>
        <v>#DIV/0!</v>
      </c>
      <c r="AE16" s="213"/>
      <c r="AF16" s="245">
        <v>0</v>
      </c>
      <c r="AG16" s="245">
        <v>0</v>
      </c>
      <c r="AH16" s="245">
        <v>73.5</v>
      </c>
      <c r="AI16" s="216" t="e">
        <f t="shared" si="0"/>
        <v>#DIV/0!</v>
      </c>
      <c r="AJ16" s="216"/>
      <c r="AK16" s="398">
        <v>100</v>
      </c>
      <c r="AL16" s="398">
        <v>0</v>
      </c>
      <c r="AM16" s="396" t="e">
        <f t="shared" si="3"/>
        <v>#DIV/0!</v>
      </c>
      <c r="AN16" s="397"/>
      <c r="AO16" s="163">
        <v>100</v>
      </c>
      <c r="AP16" s="398">
        <f t="shared" si="4"/>
        <v>0</v>
      </c>
      <c r="AQ16" s="396">
        <f t="shared" si="5"/>
        <v>0</v>
      </c>
      <c r="AR16" s="280"/>
    </row>
    <row r="17" spans="1:44" s="211" customFormat="1" ht="14.25" x14ac:dyDescent="0.3">
      <c r="A17" s="211" t="s">
        <v>894</v>
      </c>
      <c r="B17" s="214" t="str">
        <f>MID(A17,14,4)</f>
        <v>5343</v>
      </c>
      <c r="C17" s="211" t="s">
        <v>1723</v>
      </c>
      <c r="D17" s="245">
        <v>0</v>
      </c>
      <c r="E17" s="245">
        <v>0</v>
      </c>
      <c r="F17" s="216"/>
      <c r="G17" s="213"/>
      <c r="H17" s="245">
        <v>0</v>
      </c>
      <c r="I17" s="245">
        <v>210</v>
      </c>
      <c r="J17" s="216" t="e">
        <v>#DIV/0!</v>
      </c>
      <c r="K17" s="213"/>
      <c r="L17" s="245">
        <v>0</v>
      </c>
      <c r="M17" s="245">
        <v>0</v>
      </c>
      <c r="N17" s="216" t="e">
        <v>#DIV/0!</v>
      </c>
      <c r="O17" s="213"/>
      <c r="P17" s="245">
        <v>100</v>
      </c>
      <c r="Q17" s="245">
        <v>0</v>
      </c>
      <c r="R17" s="216" t="e">
        <v>#DIV/0!</v>
      </c>
      <c r="S17" s="213"/>
      <c r="T17" s="245">
        <v>200</v>
      </c>
      <c r="U17" s="245">
        <v>185</v>
      </c>
      <c r="V17" s="216">
        <v>1</v>
      </c>
      <c r="W17" s="213"/>
      <c r="X17" s="245">
        <v>100</v>
      </c>
      <c r="Y17" s="245">
        <v>185</v>
      </c>
      <c r="Z17" s="216">
        <v>-0.5</v>
      </c>
      <c r="AA17" s="213"/>
      <c r="AB17" s="245">
        <v>100</v>
      </c>
      <c r="AC17" s="245">
        <v>0</v>
      </c>
      <c r="AD17" s="216">
        <f t="shared" si="2"/>
        <v>0</v>
      </c>
      <c r="AE17" s="213"/>
      <c r="AF17" s="245">
        <v>100</v>
      </c>
      <c r="AG17" s="245">
        <v>100</v>
      </c>
      <c r="AH17" s="245">
        <v>0</v>
      </c>
      <c r="AI17" s="216">
        <f t="shared" si="0"/>
        <v>0</v>
      </c>
      <c r="AJ17" s="216"/>
      <c r="AK17" s="398">
        <v>100</v>
      </c>
      <c r="AL17" s="398">
        <v>0</v>
      </c>
      <c r="AM17" s="396">
        <f t="shared" si="3"/>
        <v>0</v>
      </c>
      <c r="AN17" s="397"/>
      <c r="AO17" s="163">
        <v>100</v>
      </c>
      <c r="AP17" s="398">
        <f t="shared" si="4"/>
        <v>0</v>
      </c>
      <c r="AQ17" s="396">
        <f t="shared" si="5"/>
        <v>0</v>
      </c>
      <c r="AR17" s="280"/>
    </row>
    <row r="18" spans="1:44" s="211" customFormat="1" ht="14.25" hidden="1" x14ac:dyDescent="0.3">
      <c r="A18" s="211" t="s">
        <v>895</v>
      </c>
      <c r="B18" s="214" t="str">
        <f>MID(A18,14,4)</f>
        <v>5344</v>
      </c>
      <c r="C18" s="211" t="s">
        <v>1601</v>
      </c>
      <c r="D18" s="245">
        <v>0</v>
      </c>
      <c r="E18" s="245">
        <v>0</v>
      </c>
      <c r="F18" s="216"/>
      <c r="G18" s="213"/>
      <c r="H18" s="245">
        <v>0</v>
      </c>
      <c r="I18" s="245">
        <v>0.44</v>
      </c>
      <c r="J18" s="216" t="e">
        <v>#DIV/0!</v>
      </c>
      <c r="K18" s="213"/>
      <c r="L18" s="245">
        <v>0</v>
      </c>
      <c r="M18" s="245">
        <v>1.84</v>
      </c>
      <c r="N18" s="216" t="e">
        <v>#DIV/0!</v>
      </c>
      <c r="O18" s="213"/>
      <c r="P18" s="245">
        <v>25</v>
      </c>
      <c r="Q18" s="245">
        <v>0.48</v>
      </c>
      <c r="R18" s="216" t="e">
        <v>#DIV/0!</v>
      </c>
      <c r="S18" s="213"/>
      <c r="T18" s="245">
        <v>0</v>
      </c>
      <c r="U18" s="245">
        <v>0.96</v>
      </c>
      <c r="V18" s="216">
        <v>-1</v>
      </c>
      <c r="W18" s="213"/>
      <c r="X18" s="245">
        <v>0</v>
      </c>
      <c r="Y18" s="245">
        <v>1.19</v>
      </c>
      <c r="Z18" s="216" t="e">
        <v>#DIV/0!</v>
      </c>
      <c r="AA18" s="213"/>
      <c r="AB18" s="245">
        <v>0</v>
      </c>
      <c r="AC18" s="245">
        <v>0.46</v>
      </c>
      <c r="AD18" s="216" t="e">
        <f t="shared" si="2"/>
        <v>#DIV/0!</v>
      </c>
      <c r="AE18" s="213"/>
      <c r="AF18" s="245">
        <v>0</v>
      </c>
      <c r="AG18" s="245">
        <v>0</v>
      </c>
      <c r="AH18" s="245">
        <v>0.67</v>
      </c>
      <c r="AI18" s="216" t="e">
        <f t="shared" si="0"/>
        <v>#DIV/0!</v>
      </c>
      <c r="AJ18" s="216"/>
      <c r="AK18" s="398"/>
      <c r="AL18" s="398"/>
      <c r="AM18" s="396" t="e">
        <f t="shared" si="3"/>
        <v>#DIV/0!</v>
      </c>
      <c r="AN18" s="397"/>
      <c r="AO18" s="163"/>
      <c r="AP18" s="398">
        <f t="shared" si="4"/>
        <v>0</v>
      </c>
      <c r="AQ18" s="396" t="e">
        <f t="shared" si="5"/>
        <v>#DIV/0!</v>
      </c>
      <c r="AR18" s="280"/>
    </row>
    <row r="19" spans="1:44" s="211" customFormat="1" ht="14.25" x14ac:dyDescent="0.3">
      <c r="A19" s="211" t="s">
        <v>673</v>
      </c>
      <c r="B19" s="214" t="str">
        <f t="shared" si="1"/>
        <v>5384</v>
      </c>
      <c r="C19" s="211" t="s">
        <v>1797</v>
      </c>
      <c r="D19" s="245">
        <v>8109.5</v>
      </c>
      <c r="E19" s="245">
        <v>11162.24</v>
      </c>
      <c r="F19" s="216"/>
      <c r="G19" s="213"/>
      <c r="H19" s="245">
        <v>8110</v>
      </c>
      <c r="I19" s="245">
        <v>9575.5</v>
      </c>
      <c r="J19" s="216">
        <v>6.1656082372526044E-5</v>
      </c>
      <c r="K19" s="213"/>
      <c r="L19" s="245">
        <v>8500</v>
      </c>
      <c r="M19" s="245">
        <v>9153.51</v>
      </c>
      <c r="N19" s="216">
        <v>4.8088779284833537E-2</v>
      </c>
      <c r="O19" s="213"/>
      <c r="P19" s="245">
        <v>8000</v>
      </c>
      <c r="Q19" s="245">
        <v>7092.39</v>
      </c>
      <c r="R19" s="216">
        <v>-5.8823529411764705E-2</v>
      </c>
      <c r="S19" s="213"/>
      <c r="T19" s="245">
        <v>8000</v>
      </c>
      <c r="U19" s="245">
        <v>8249.06</v>
      </c>
      <c r="V19" s="216">
        <v>0</v>
      </c>
      <c r="W19" s="213"/>
      <c r="X19" s="245">
        <v>7000</v>
      </c>
      <c r="Y19" s="245">
        <v>8214.6200000000008</v>
      </c>
      <c r="Z19" s="216">
        <v>-0.125</v>
      </c>
      <c r="AA19" s="213"/>
      <c r="AB19" s="245">
        <v>7000</v>
      </c>
      <c r="AC19" s="245">
        <v>8096.84</v>
      </c>
      <c r="AD19" s="216">
        <f t="shared" si="2"/>
        <v>0</v>
      </c>
      <c r="AE19" s="213"/>
      <c r="AF19" s="245">
        <v>7000</v>
      </c>
      <c r="AG19" s="245">
        <v>7000</v>
      </c>
      <c r="AH19" s="245">
        <v>6229.31</v>
      </c>
      <c r="AI19" s="216">
        <f t="shared" si="0"/>
        <v>0</v>
      </c>
      <c r="AJ19" s="216"/>
      <c r="AK19" s="398">
        <v>8500</v>
      </c>
      <c r="AL19" s="398">
        <v>1214.52</v>
      </c>
      <c r="AM19" s="396">
        <f t="shared" si="3"/>
        <v>0.21428571428571427</v>
      </c>
      <c r="AN19" s="397"/>
      <c r="AO19" s="163">
        <v>8500</v>
      </c>
      <c r="AP19" s="398">
        <f t="shared" si="4"/>
        <v>0</v>
      </c>
      <c r="AQ19" s="396">
        <f t="shared" si="5"/>
        <v>0</v>
      </c>
      <c r="AR19" s="280"/>
    </row>
    <row r="20" spans="1:44" s="211" customFormat="1" ht="14.25" x14ac:dyDescent="0.3">
      <c r="A20" s="211" t="s">
        <v>674</v>
      </c>
      <c r="B20" s="214" t="str">
        <f t="shared" si="1"/>
        <v>5399</v>
      </c>
      <c r="C20" s="211" t="s">
        <v>1602</v>
      </c>
      <c r="D20" s="245">
        <v>400</v>
      </c>
      <c r="E20" s="245">
        <v>1389.33</v>
      </c>
      <c r="F20" s="216"/>
      <c r="G20" s="213"/>
      <c r="H20" s="245">
        <v>400</v>
      </c>
      <c r="I20" s="245">
        <v>0</v>
      </c>
      <c r="J20" s="216">
        <v>0</v>
      </c>
      <c r="K20" s="213"/>
      <c r="L20" s="245">
        <v>1000</v>
      </c>
      <c r="M20" s="245">
        <v>505.55</v>
      </c>
      <c r="N20" s="216">
        <v>1.5</v>
      </c>
      <c r="O20" s="213"/>
      <c r="P20" s="245">
        <v>600</v>
      </c>
      <c r="Q20" s="245">
        <v>104.8</v>
      </c>
      <c r="R20" s="216">
        <v>-0.4</v>
      </c>
      <c r="S20" s="213"/>
      <c r="T20" s="245">
        <v>1000</v>
      </c>
      <c r="U20" s="245">
        <v>0</v>
      </c>
      <c r="V20" s="216">
        <v>0.66666666666666663</v>
      </c>
      <c r="W20" s="213"/>
      <c r="X20" s="245">
        <v>1000</v>
      </c>
      <c r="Y20" s="245">
        <v>243</v>
      </c>
      <c r="Z20" s="216">
        <v>0</v>
      </c>
      <c r="AA20" s="213"/>
      <c r="AB20" s="245">
        <v>1000</v>
      </c>
      <c r="AC20" s="245">
        <v>424.02</v>
      </c>
      <c r="AD20" s="216">
        <f t="shared" si="2"/>
        <v>0</v>
      </c>
      <c r="AE20" s="213"/>
      <c r="AF20" s="245">
        <v>1000</v>
      </c>
      <c r="AG20" s="245">
        <v>1000</v>
      </c>
      <c r="AH20" s="245">
        <v>0</v>
      </c>
      <c r="AI20" s="216">
        <f t="shared" si="0"/>
        <v>0</v>
      </c>
      <c r="AJ20" s="216"/>
      <c r="AK20" s="398">
        <v>1000</v>
      </c>
      <c r="AL20" s="398">
        <v>0</v>
      </c>
      <c r="AM20" s="396">
        <f t="shared" si="3"/>
        <v>0</v>
      </c>
      <c r="AN20" s="397"/>
      <c r="AO20" s="163">
        <v>800</v>
      </c>
      <c r="AP20" s="398">
        <f t="shared" si="4"/>
        <v>-200</v>
      </c>
      <c r="AQ20" s="396">
        <f t="shared" si="5"/>
        <v>-0.2</v>
      </c>
      <c r="AR20" s="280"/>
    </row>
    <row r="21" spans="1:44" ht="14.25" x14ac:dyDescent="0.3">
      <c r="A21" s="119" t="s">
        <v>896</v>
      </c>
      <c r="B21" s="119" t="str">
        <f>MID(A21,14,4)</f>
        <v>5420</v>
      </c>
      <c r="C21" s="161" t="s">
        <v>1480</v>
      </c>
      <c r="D21" s="245">
        <v>0</v>
      </c>
      <c r="E21" s="245">
        <v>0</v>
      </c>
      <c r="F21" s="216"/>
      <c r="H21" s="245">
        <v>0</v>
      </c>
      <c r="I21" s="245">
        <v>65.95</v>
      </c>
      <c r="J21" s="216" t="e">
        <v>#DIV/0!</v>
      </c>
      <c r="L21" s="245">
        <v>0</v>
      </c>
      <c r="M21" s="245">
        <v>64.94</v>
      </c>
      <c r="N21" s="216" t="e">
        <v>#DIV/0!</v>
      </c>
      <c r="P21" s="245">
        <v>75</v>
      </c>
      <c r="Q21" s="245">
        <v>0</v>
      </c>
      <c r="R21" s="216" t="e">
        <v>#DIV/0!</v>
      </c>
      <c r="T21" s="245">
        <v>0</v>
      </c>
      <c r="U21" s="245">
        <v>0</v>
      </c>
      <c r="V21" s="216">
        <v>-1</v>
      </c>
      <c r="W21" s="213"/>
      <c r="X21" s="245">
        <v>75</v>
      </c>
      <c r="Y21" s="245">
        <v>0</v>
      </c>
      <c r="Z21" s="216" t="e">
        <v>#DIV/0!</v>
      </c>
      <c r="AA21" s="213"/>
      <c r="AB21" s="245">
        <v>75</v>
      </c>
      <c r="AC21" s="245">
        <v>10.95</v>
      </c>
      <c r="AD21" s="216">
        <f t="shared" si="2"/>
        <v>0</v>
      </c>
      <c r="AF21" s="245">
        <v>75</v>
      </c>
      <c r="AG21" s="245">
        <v>75</v>
      </c>
      <c r="AH21" s="245">
        <v>199.22</v>
      </c>
      <c r="AI21" s="216">
        <f t="shared" si="0"/>
        <v>0</v>
      </c>
      <c r="AJ21" s="80"/>
      <c r="AK21" s="398">
        <v>75</v>
      </c>
      <c r="AL21" s="398">
        <v>0</v>
      </c>
      <c r="AM21" s="396">
        <f t="shared" si="3"/>
        <v>0</v>
      </c>
      <c r="AO21" s="163">
        <v>75</v>
      </c>
      <c r="AP21" s="398">
        <f t="shared" si="4"/>
        <v>0</v>
      </c>
      <c r="AQ21" s="396">
        <f t="shared" si="5"/>
        <v>0</v>
      </c>
      <c r="AR21" s="280"/>
    </row>
    <row r="22" spans="1:44" s="211" customFormat="1" ht="14.25" x14ac:dyDescent="0.3">
      <c r="A22" s="211" t="s">
        <v>675</v>
      </c>
      <c r="B22" s="214" t="str">
        <f t="shared" si="1"/>
        <v>5483</v>
      </c>
      <c r="C22" s="211" t="s">
        <v>1798</v>
      </c>
      <c r="D22" s="245">
        <v>1933.25</v>
      </c>
      <c r="E22" s="245">
        <v>1080.04</v>
      </c>
      <c r="F22" s="216"/>
      <c r="G22" s="213"/>
      <c r="H22" s="245">
        <v>1933</v>
      </c>
      <c r="I22" s="245">
        <v>1754.61</v>
      </c>
      <c r="J22" s="216">
        <v>-1.2931591878960301E-4</v>
      </c>
      <c r="K22" s="213"/>
      <c r="L22" s="245">
        <v>1500</v>
      </c>
      <c r="M22" s="245">
        <v>1539.54</v>
      </c>
      <c r="N22" s="216">
        <v>-0.2240041386445939</v>
      </c>
      <c r="O22" s="213"/>
      <c r="P22" s="245">
        <v>1700</v>
      </c>
      <c r="Q22" s="245">
        <v>1862.17</v>
      </c>
      <c r="R22" s="216">
        <v>0.13333333333333333</v>
      </c>
      <c r="S22" s="213"/>
      <c r="T22" s="245">
        <v>1700</v>
      </c>
      <c r="U22" s="245">
        <v>1163.56</v>
      </c>
      <c r="V22" s="216">
        <v>0</v>
      </c>
      <c r="W22" s="213"/>
      <c r="X22" s="245">
        <v>1700</v>
      </c>
      <c r="Y22" s="245">
        <v>869.76</v>
      </c>
      <c r="Z22" s="216">
        <v>0</v>
      </c>
      <c r="AA22" s="213"/>
      <c r="AB22" s="245">
        <v>1200</v>
      </c>
      <c r="AC22" s="245">
        <v>1004.8</v>
      </c>
      <c r="AD22" s="216">
        <f t="shared" si="2"/>
        <v>-0.29411764705882354</v>
      </c>
      <c r="AE22" s="213"/>
      <c r="AF22" s="245">
        <v>1200</v>
      </c>
      <c r="AG22" s="245">
        <v>1200</v>
      </c>
      <c r="AH22" s="245">
        <v>1104.1099999999999</v>
      </c>
      <c r="AI22" s="216">
        <f t="shared" si="0"/>
        <v>0</v>
      </c>
      <c r="AJ22" s="216"/>
      <c r="AK22" s="398">
        <v>1000</v>
      </c>
      <c r="AL22" s="398">
        <v>198.12</v>
      </c>
      <c r="AM22" s="396">
        <f t="shared" si="3"/>
        <v>-0.16666666666666666</v>
      </c>
      <c r="AN22" s="397"/>
      <c r="AO22" s="163">
        <v>1100</v>
      </c>
      <c r="AP22" s="398">
        <f t="shared" si="4"/>
        <v>100</v>
      </c>
      <c r="AQ22" s="396">
        <f t="shared" si="5"/>
        <v>0.1</v>
      </c>
      <c r="AR22" s="280" t="s">
        <v>1521</v>
      </c>
    </row>
    <row r="23" spans="1:44" s="211" customFormat="1" ht="14.25" x14ac:dyDescent="0.3">
      <c r="A23" s="211" t="s">
        <v>676</v>
      </c>
      <c r="B23" s="214" t="str">
        <f t="shared" si="1"/>
        <v>5589</v>
      </c>
      <c r="C23" s="211" t="s">
        <v>1604</v>
      </c>
      <c r="D23" s="245">
        <v>2613.92</v>
      </c>
      <c r="E23" s="245">
        <v>3514.5</v>
      </c>
      <c r="F23" s="216"/>
      <c r="G23" s="213"/>
      <c r="H23" s="245">
        <v>2614</v>
      </c>
      <c r="I23" s="245">
        <v>3874.01</v>
      </c>
      <c r="J23" s="216">
        <v>3.0605374303699901E-5</v>
      </c>
      <c r="K23" s="213"/>
      <c r="L23" s="245">
        <v>1000</v>
      </c>
      <c r="M23" s="245">
        <v>530.53</v>
      </c>
      <c r="N23" s="216">
        <v>-0.6174445294567712</v>
      </c>
      <c r="O23" s="213"/>
      <c r="P23" s="245">
        <v>1000</v>
      </c>
      <c r="Q23" s="245">
        <v>1509.94</v>
      </c>
      <c r="R23" s="216">
        <v>0</v>
      </c>
      <c r="S23" s="213"/>
      <c r="T23" s="245">
        <v>2000</v>
      </c>
      <c r="U23" s="245">
        <v>1358.36</v>
      </c>
      <c r="V23" s="216">
        <v>1</v>
      </c>
      <c r="W23" s="213"/>
      <c r="X23" s="245">
        <v>1000</v>
      </c>
      <c r="Y23" s="245">
        <v>1589.59</v>
      </c>
      <c r="Z23" s="216">
        <v>-0.5</v>
      </c>
      <c r="AA23" s="213"/>
      <c r="AB23" s="245">
        <v>1000</v>
      </c>
      <c r="AC23" s="245">
        <v>1584.64</v>
      </c>
      <c r="AD23" s="216">
        <f t="shared" si="2"/>
        <v>0</v>
      </c>
      <c r="AE23" s="213"/>
      <c r="AF23" s="245">
        <v>1000</v>
      </c>
      <c r="AG23" s="245">
        <v>1000</v>
      </c>
      <c r="AH23" s="245">
        <v>626.71</v>
      </c>
      <c r="AI23" s="216">
        <f t="shared" si="0"/>
        <v>0</v>
      </c>
      <c r="AJ23" s="216"/>
      <c r="AK23" s="398">
        <v>1600</v>
      </c>
      <c r="AL23" s="398">
        <v>0</v>
      </c>
      <c r="AM23" s="396">
        <f t="shared" si="3"/>
        <v>0.6</v>
      </c>
      <c r="AN23" s="397"/>
      <c r="AO23" s="163">
        <v>1000</v>
      </c>
      <c r="AP23" s="398">
        <f t="shared" si="4"/>
        <v>-600</v>
      </c>
      <c r="AQ23" s="396">
        <f t="shared" si="5"/>
        <v>-0.375</v>
      </c>
      <c r="AR23" s="280"/>
    </row>
    <row r="24" spans="1:44" s="211" customFormat="1" ht="14.25" x14ac:dyDescent="0.3">
      <c r="A24" s="211" t="s">
        <v>677</v>
      </c>
      <c r="B24" s="214" t="str">
        <f t="shared" si="1"/>
        <v>5591</v>
      </c>
      <c r="C24" s="211" t="s">
        <v>1799</v>
      </c>
      <c r="D24" s="245">
        <v>3000</v>
      </c>
      <c r="E24" s="245">
        <v>0</v>
      </c>
      <c r="F24" s="216"/>
      <c r="G24" s="213"/>
      <c r="H24" s="245">
        <v>3000</v>
      </c>
      <c r="I24" s="245">
        <v>1325</v>
      </c>
      <c r="J24" s="216">
        <v>0</v>
      </c>
      <c r="K24" s="213"/>
      <c r="L24" s="245">
        <v>2000</v>
      </c>
      <c r="M24" s="245">
        <v>0</v>
      </c>
      <c r="N24" s="216">
        <v>-0.33333333333333331</v>
      </c>
      <c r="O24" s="213"/>
      <c r="P24" s="245">
        <v>1500</v>
      </c>
      <c r="Q24" s="245">
        <v>1500</v>
      </c>
      <c r="R24" s="216">
        <v>-0.25</v>
      </c>
      <c r="S24" s="213"/>
      <c r="T24" s="245">
        <v>2000</v>
      </c>
      <c r="U24" s="245">
        <v>300</v>
      </c>
      <c r="V24" s="216">
        <v>0.33333333333333331</v>
      </c>
      <c r="W24" s="213"/>
      <c r="X24" s="245">
        <v>1500</v>
      </c>
      <c r="Y24" s="245">
        <v>0</v>
      </c>
      <c r="Z24" s="216">
        <v>-0.25</v>
      </c>
      <c r="AA24" s="213"/>
      <c r="AB24" s="245">
        <v>1500</v>
      </c>
      <c r="AC24" s="245">
        <v>1228.05</v>
      </c>
      <c r="AD24" s="216">
        <f t="shared" si="2"/>
        <v>0</v>
      </c>
      <c r="AE24" s="213"/>
      <c r="AF24" s="245">
        <v>1500</v>
      </c>
      <c r="AG24" s="245">
        <v>1500</v>
      </c>
      <c r="AH24" s="245">
        <v>1500</v>
      </c>
      <c r="AI24" s="216">
        <f t="shared" si="0"/>
        <v>0</v>
      </c>
      <c r="AJ24" s="216"/>
      <c r="AK24" s="398">
        <v>1500</v>
      </c>
      <c r="AL24" s="398">
        <v>0</v>
      </c>
      <c r="AM24" s="396">
        <f t="shared" si="3"/>
        <v>0</v>
      </c>
      <c r="AN24" s="397"/>
      <c r="AO24" s="163">
        <v>3000</v>
      </c>
      <c r="AP24" s="398">
        <f t="shared" si="4"/>
        <v>1500</v>
      </c>
      <c r="AQ24" s="396">
        <f t="shared" si="5"/>
        <v>1</v>
      </c>
      <c r="AR24" s="280" t="s">
        <v>1520</v>
      </c>
    </row>
    <row r="25" spans="1:44" ht="14.25" x14ac:dyDescent="0.3">
      <c r="A25" s="161" t="s">
        <v>678</v>
      </c>
      <c r="B25" s="119" t="str">
        <f>MID(A25,14,4)</f>
        <v>5693</v>
      </c>
      <c r="C25" s="161" t="s">
        <v>1800</v>
      </c>
      <c r="D25" s="245">
        <v>30000</v>
      </c>
      <c r="E25" s="245">
        <v>30000</v>
      </c>
      <c r="F25" s="216"/>
      <c r="H25" s="245">
        <v>30000</v>
      </c>
      <c r="I25" s="245">
        <v>30000</v>
      </c>
      <c r="J25" s="216">
        <v>0</v>
      </c>
      <c r="L25" s="245">
        <v>33000</v>
      </c>
      <c r="M25" s="245">
        <v>33000</v>
      </c>
      <c r="N25" s="216">
        <v>0.1</v>
      </c>
      <c r="P25" s="245">
        <v>35000</v>
      </c>
      <c r="Q25" s="245">
        <v>35000</v>
      </c>
      <c r="R25" s="216">
        <v>6.0606060606060608E-2</v>
      </c>
      <c r="T25" s="245">
        <v>36000</v>
      </c>
      <c r="U25" s="245">
        <v>36000</v>
      </c>
      <c r="V25" s="216">
        <v>2.8571428571428571E-2</v>
      </c>
      <c r="W25" s="213"/>
      <c r="X25" s="245">
        <v>37000</v>
      </c>
      <c r="Y25" s="245">
        <v>37000</v>
      </c>
      <c r="Z25" s="216">
        <v>2.7777777777777776E-2</v>
      </c>
      <c r="AA25" s="213"/>
      <c r="AB25" s="245">
        <v>37000</v>
      </c>
      <c r="AC25" s="245">
        <v>37000</v>
      </c>
      <c r="AD25" s="216">
        <f t="shared" si="2"/>
        <v>0</v>
      </c>
      <c r="AF25" s="245">
        <v>37000</v>
      </c>
      <c r="AG25" s="245">
        <v>37000</v>
      </c>
      <c r="AH25" s="245">
        <v>37000</v>
      </c>
      <c r="AI25" s="216">
        <f t="shared" si="0"/>
        <v>0</v>
      </c>
      <c r="AJ25" s="80"/>
      <c r="AK25" s="398">
        <v>38000</v>
      </c>
      <c r="AL25" s="398">
        <v>38000</v>
      </c>
      <c r="AM25" s="396">
        <f t="shared" si="3"/>
        <v>2.7027027027027029E-2</v>
      </c>
      <c r="AO25" s="163">
        <v>38000</v>
      </c>
      <c r="AP25" s="398">
        <f t="shared" si="4"/>
        <v>0</v>
      </c>
      <c r="AQ25" s="396">
        <f t="shared" si="5"/>
        <v>0</v>
      </c>
      <c r="AR25" s="280"/>
    </row>
    <row r="26" spans="1:44" s="211" customFormat="1" ht="14.25" x14ac:dyDescent="0.3">
      <c r="A26" s="211" t="s">
        <v>922</v>
      </c>
      <c r="B26" s="214" t="str">
        <f>MID(A26,14,4)</f>
        <v>5710</v>
      </c>
      <c r="C26" s="211" t="s">
        <v>1605</v>
      </c>
      <c r="D26" s="245">
        <v>0</v>
      </c>
      <c r="E26" s="245">
        <v>0</v>
      </c>
      <c r="F26" s="216"/>
      <c r="G26" s="213"/>
      <c r="H26" s="245">
        <v>0</v>
      </c>
      <c r="I26" s="245">
        <v>331.17</v>
      </c>
      <c r="J26" s="216" t="e">
        <v>#DIV/0!</v>
      </c>
      <c r="K26" s="213"/>
      <c r="L26" s="245">
        <v>0</v>
      </c>
      <c r="M26" s="245">
        <v>0</v>
      </c>
      <c r="N26" s="216" t="e">
        <v>#DIV/0!</v>
      </c>
      <c r="O26" s="213"/>
      <c r="P26" s="245">
        <v>0</v>
      </c>
      <c r="Q26" s="245">
        <v>81</v>
      </c>
      <c r="R26" s="216" t="e">
        <v>#DIV/0!</v>
      </c>
      <c r="S26" s="213"/>
      <c r="T26" s="245">
        <v>600</v>
      </c>
      <c r="U26" s="245">
        <v>0</v>
      </c>
      <c r="V26" s="216" t="e">
        <v>#DIV/0!</v>
      </c>
      <c r="W26" s="213"/>
      <c r="X26" s="245">
        <v>300</v>
      </c>
      <c r="Y26" s="245">
        <v>0</v>
      </c>
      <c r="Z26" s="216">
        <v>-0.5</v>
      </c>
      <c r="AA26" s="213"/>
      <c r="AB26" s="245">
        <v>300</v>
      </c>
      <c r="AC26" s="245">
        <v>137</v>
      </c>
      <c r="AD26" s="216">
        <f t="shared" si="2"/>
        <v>0</v>
      </c>
      <c r="AE26" s="213"/>
      <c r="AF26" s="245">
        <v>300</v>
      </c>
      <c r="AG26" s="245">
        <v>300</v>
      </c>
      <c r="AH26" s="245">
        <v>0</v>
      </c>
      <c r="AI26" s="216">
        <f t="shared" si="0"/>
        <v>0</v>
      </c>
      <c r="AJ26" s="216"/>
      <c r="AK26" s="398">
        <v>300</v>
      </c>
      <c r="AL26" s="398">
        <v>0</v>
      </c>
      <c r="AM26" s="396">
        <f t="shared" si="3"/>
        <v>0</v>
      </c>
      <c r="AN26" s="397"/>
      <c r="AO26" s="163">
        <v>300</v>
      </c>
      <c r="AP26" s="398">
        <f t="shared" si="4"/>
        <v>0</v>
      </c>
      <c r="AQ26" s="396">
        <f t="shared" si="5"/>
        <v>0</v>
      </c>
      <c r="AR26" s="280"/>
    </row>
    <row r="27" spans="1:44" ht="14.25" x14ac:dyDescent="0.3">
      <c r="A27" s="119" t="s">
        <v>921</v>
      </c>
      <c r="B27" s="119" t="str">
        <f>MID(A27,14,4)</f>
        <v>5711</v>
      </c>
      <c r="C27" s="161" t="s">
        <v>1801</v>
      </c>
      <c r="D27" s="245">
        <v>0</v>
      </c>
      <c r="E27" s="245">
        <v>0</v>
      </c>
      <c r="F27" s="216"/>
      <c r="H27" s="245">
        <v>0</v>
      </c>
      <c r="I27" s="245">
        <v>0</v>
      </c>
      <c r="J27" s="216" t="e">
        <v>#DIV/0!</v>
      </c>
      <c r="L27" s="245">
        <v>0</v>
      </c>
      <c r="M27" s="245">
        <v>0</v>
      </c>
      <c r="N27" s="216" t="e">
        <v>#DIV/0!</v>
      </c>
      <c r="P27" s="245">
        <v>0</v>
      </c>
      <c r="Q27" s="245">
        <v>0</v>
      </c>
      <c r="R27" s="216" t="e">
        <v>#DIV/0!</v>
      </c>
      <c r="T27" s="245">
        <v>3300</v>
      </c>
      <c r="U27" s="245">
        <v>2312.8000000000002</v>
      </c>
      <c r="V27" s="216" t="e">
        <v>#DIV/0!</v>
      </c>
      <c r="W27" s="213"/>
      <c r="X27" s="245">
        <v>7500</v>
      </c>
      <c r="Y27" s="245">
        <v>3300</v>
      </c>
      <c r="Z27" s="216">
        <v>1.2727272727272727</v>
      </c>
      <c r="AA27" s="213"/>
      <c r="AB27" s="245">
        <v>7500</v>
      </c>
      <c r="AC27" s="245">
        <v>7197.74</v>
      </c>
      <c r="AD27" s="216">
        <f t="shared" si="2"/>
        <v>0</v>
      </c>
      <c r="AF27" s="245">
        <v>7500</v>
      </c>
      <c r="AG27" s="245">
        <v>7500</v>
      </c>
      <c r="AH27" s="245">
        <v>6935.98</v>
      </c>
      <c r="AI27" s="216">
        <f t="shared" si="0"/>
        <v>0</v>
      </c>
      <c r="AJ27" s="80"/>
      <c r="AK27" s="398">
        <v>7500</v>
      </c>
      <c r="AL27" s="398">
        <v>0</v>
      </c>
      <c r="AM27" s="396">
        <f t="shared" si="3"/>
        <v>0</v>
      </c>
      <c r="AO27" s="163">
        <v>7000</v>
      </c>
      <c r="AP27" s="398">
        <f t="shared" si="4"/>
        <v>-500</v>
      </c>
      <c r="AQ27" s="396">
        <f t="shared" si="5"/>
        <v>-6.6666666666666666E-2</v>
      </c>
      <c r="AR27" s="167" t="s">
        <v>934</v>
      </c>
    </row>
    <row r="28" spans="1:44" s="114" customFormat="1" x14ac:dyDescent="0.25">
      <c r="A28" s="219"/>
      <c r="B28" s="219"/>
      <c r="C28" s="278" t="s">
        <v>279</v>
      </c>
      <c r="D28" s="220">
        <f>SUM(D12:D27)</f>
        <v>51404.71</v>
      </c>
      <c r="E28" s="220">
        <f>SUM(E12:E27)</f>
        <v>50746.8</v>
      </c>
      <c r="F28" s="221">
        <v>-5.4000000000000003E-3</v>
      </c>
      <c r="G28" s="219"/>
      <c r="H28" s="220">
        <f>SUM(H12:H27)</f>
        <v>51580</v>
      </c>
      <c r="I28" s="220">
        <f>SUM(I12:I27)</f>
        <v>51650.46</v>
      </c>
      <c r="J28" s="221">
        <f>(H28-D28)/D28</f>
        <v>3.409998811392981E-3</v>
      </c>
      <c r="K28" s="219"/>
      <c r="L28" s="220">
        <f>SUM(L12:L27)</f>
        <v>51300</v>
      </c>
      <c r="M28" s="220">
        <f>SUM(M12:M27)</f>
        <v>51572.19</v>
      </c>
      <c r="N28" s="221">
        <f>(L28-H28)/H28</f>
        <v>-5.4284606436603338E-3</v>
      </c>
      <c r="O28" s="219"/>
      <c r="P28" s="220">
        <f>SUM(P12:P27)</f>
        <v>53300</v>
      </c>
      <c r="Q28" s="220">
        <f>SUM(Q12:Q27)</f>
        <v>53357.96</v>
      </c>
      <c r="R28" s="221">
        <f>(P28-L28)/L28</f>
        <v>3.8986354775828458E-2</v>
      </c>
      <c r="S28" s="219"/>
      <c r="T28" s="220">
        <f>SUM(T12:T27)</f>
        <v>56600</v>
      </c>
      <c r="U28" s="220">
        <f>SUM(U12:U27)</f>
        <v>56270.14</v>
      </c>
      <c r="V28" s="221">
        <f>(T28-P28)/P28</f>
        <v>6.1913696060037521E-2</v>
      </c>
      <c r="W28" s="219"/>
      <c r="X28" s="220">
        <f>SUM(X12:X27)</f>
        <v>59850</v>
      </c>
      <c r="Y28" s="220">
        <f>SUM(Y12:Y27)</f>
        <v>59214.509999999995</v>
      </c>
      <c r="Z28" s="221">
        <f>(X28-T28)/T28</f>
        <v>5.7420494699646642E-2</v>
      </c>
      <c r="AA28" s="219"/>
      <c r="AB28" s="220">
        <f>SUM(AB12:AB27)</f>
        <v>59350</v>
      </c>
      <c r="AC28" s="220">
        <f>SUM(AC12:AC27)</f>
        <v>59412.479999999996</v>
      </c>
      <c r="AD28" s="221">
        <f>(AB28-X28)/X28</f>
        <v>-8.3542188805346695E-3</v>
      </c>
      <c r="AE28" s="219"/>
      <c r="AF28" s="220">
        <f>SUM(AF12:AF27)</f>
        <v>59350</v>
      </c>
      <c r="AG28" s="220">
        <f>SUM(AG12:AG27)</f>
        <v>59350</v>
      </c>
      <c r="AH28" s="220">
        <f>SUM(AH12:AH27)</f>
        <v>55516.17</v>
      </c>
      <c r="AI28" s="221">
        <f t="shared" si="0"/>
        <v>0</v>
      </c>
      <c r="AJ28" s="221"/>
      <c r="AK28" s="401">
        <f>SUM(AK12:AK27)</f>
        <v>62675</v>
      </c>
      <c r="AL28" s="401">
        <f>SUM(AL12:AL27)</f>
        <v>39853.56</v>
      </c>
      <c r="AM28" s="221">
        <f>(AK28-AG28)/AG28</f>
        <v>5.602358887952822E-2</v>
      </c>
      <c r="AN28" s="219"/>
      <c r="AO28" s="223">
        <f>SUM(AO12:AO27)</f>
        <v>62975</v>
      </c>
      <c r="AP28" s="401">
        <f>SUM(AP12:AP27)</f>
        <v>300</v>
      </c>
      <c r="AQ28" s="221">
        <f>(AO28-AK28)/AK28</f>
        <v>4.7865975269246108E-3</v>
      </c>
      <c r="AR28" s="219"/>
    </row>
    <row r="29" spans="1:44" s="211" customFormat="1" x14ac:dyDescent="0.25">
      <c r="C29" s="271"/>
      <c r="D29" s="112"/>
      <c r="E29" s="112"/>
      <c r="F29" s="216"/>
      <c r="G29" s="213"/>
      <c r="H29" s="112"/>
      <c r="I29" s="112"/>
      <c r="J29" s="216"/>
      <c r="K29" s="213"/>
      <c r="L29" s="112"/>
      <c r="M29" s="112"/>
      <c r="N29" s="216"/>
      <c r="O29" s="213"/>
      <c r="P29" s="112"/>
      <c r="Q29" s="112"/>
      <c r="R29" s="216"/>
      <c r="S29" s="213"/>
      <c r="T29" s="112"/>
      <c r="U29" s="112"/>
      <c r="V29" s="216"/>
      <c r="W29" s="213"/>
      <c r="X29" s="112"/>
      <c r="Y29" s="112"/>
      <c r="Z29" s="216"/>
      <c r="AA29" s="213"/>
      <c r="AB29" s="112"/>
      <c r="AC29" s="112"/>
      <c r="AD29" s="216"/>
      <c r="AE29" s="213"/>
      <c r="AF29" s="112"/>
      <c r="AG29" s="112"/>
      <c r="AH29" s="112"/>
      <c r="AI29" s="216"/>
      <c r="AJ29" s="216"/>
      <c r="AK29" s="112"/>
      <c r="AL29" s="112"/>
      <c r="AM29" s="396"/>
      <c r="AN29" s="397"/>
      <c r="AO29" s="212"/>
      <c r="AP29" s="112"/>
      <c r="AQ29" s="396"/>
    </row>
    <row r="30" spans="1:44" s="114" customFormat="1" ht="12.75" x14ac:dyDescent="0.2">
      <c r="A30" s="228"/>
      <c r="B30" s="228"/>
      <c r="C30" s="233" t="s">
        <v>280</v>
      </c>
      <c r="D30" s="230">
        <f>D9+D28</f>
        <v>120744.66999999998</v>
      </c>
      <c r="E30" s="230">
        <f>E9+E28</f>
        <v>120086.76</v>
      </c>
      <c r="F30" s="231">
        <v>2.8999999999999998E-3</v>
      </c>
      <c r="G30" s="228"/>
      <c r="H30" s="230">
        <f>H9+H28</f>
        <v>124466</v>
      </c>
      <c r="I30" s="230">
        <f>I9+I28</f>
        <v>124510.41</v>
      </c>
      <c r="J30" s="231">
        <f>(H30-D30)/D30</f>
        <v>3.0819828320372375E-2</v>
      </c>
      <c r="K30" s="228"/>
      <c r="L30" s="230">
        <f>L9+L28</f>
        <v>128377.48000000001</v>
      </c>
      <c r="M30" s="230">
        <f>M9+M28</f>
        <v>67773.06</v>
      </c>
      <c r="N30" s="231">
        <f>(L30-H30)/H30</f>
        <v>3.1426092266161124E-2</v>
      </c>
      <c r="O30" s="228"/>
      <c r="P30" s="230">
        <f>P9+P28</f>
        <v>134940.79999999999</v>
      </c>
      <c r="Q30" s="230">
        <f>Q9+Q28</f>
        <v>127789.73000000001</v>
      </c>
      <c r="R30" s="231">
        <f>(P30-L30)/L30</f>
        <v>5.1125166189583855E-2</v>
      </c>
      <c r="S30" s="228"/>
      <c r="T30" s="230">
        <f>T9+T28</f>
        <v>134678.24</v>
      </c>
      <c r="U30" s="230">
        <f>U9+U28</f>
        <v>129697.4</v>
      </c>
      <c r="V30" s="231">
        <f>(T30-P30)/P30</f>
        <v>-1.9457421328463868E-3</v>
      </c>
      <c r="W30" s="228"/>
      <c r="X30" s="230">
        <f>X9+X28</f>
        <v>139953.79999999999</v>
      </c>
      <c r="Y30" s="230">
        <f>Y9+Y28</f>
        <v>139318.31</v>
      </c>
      <c r="Z30" s="231">
        <f>(X30-T30)/T30</f>
        <v>3.9171584065844624E-2</v>
      </c>
      <c r="AA30" s="228"/>
      <c r="AB30" s="230">
        <f>AB9+AB28</f>
        <v>164653.06</v>
      </c>
      <c r="AC30" s="230">
        <f>AC9+AC28</f>
        <v>165397.70000000001</v>
      </c>
      <c r="AD30" s="231">
        <f>(AB30-X30)/X30</f>
        <v>0.17648152461740954</v>
      </c>
      <c r="AE30" s="228"/>
      <c r="AF30" s="230">
        <f>AF9+AF28</f>
        <v>166416.58000000002</v>
      </c>
      <c r="AG30" s="382">
        <f>AG9+AG28</f>
        <v>170607.41</v>
      </c>
      <c r="AH30" s="230">
        <f>AH9+AH28</f>
        <v>166772.97</v>
      </c>
      <c r="AI30" s="231">
        <f>(AG30-AB30)/AB30</f>
        <v>3.6163008449402678E-2</v>
      </c>
      <c r="AJ30" s="231"/>
      <c r="AK30" s="402">
        <f>AK9+AK28</f>
        <v>180012.25</v>
      </c>
      <c r="AL30" s="402">
        <f>AL9+AL28</f>
        <v>97400.16</v>
      </c>
      <c r="AM30" s="231">
        <f>(AK30-AG30)/AG30</f>
        <v>5.5125624379386548E-2</v>
      </c>
      <c r="AN30" s="228"/>
      <c r="AO30" s="232">
        <f>AO9+AO28</f>
        <v>187106.8088</v>
      </c>
      <c r="AP30" s="232">
        <f>AP9+AP28</f>
        <v>7094.5587999999843</v>
      </c>
      <c r="AQ30" s="231">
        <f>(AO30-AK30)/AK30</f>
        <v>3.9411533381755959E-2</v>
      </c>
      <c r="AR30" s="233"/>
    </row>
    <row r="31" spans="1:44" x14ac:dyDescent="0.25">
      <c r="D31" s="120"/>
      <c r="H31" s="120"/>
      <c r="L31" s="120"/>
      <c r="P31" s="120"/>
      <c r="T31" s="120"/>
      <c r="X31" s="120"/>
      <c r="AB31" s="120"/>
      <c r="AF31" s="120"/>
      <c r="AG31" s="120"/>
      <c r="AI31" s="216"/>
      <c r="AK31" s="403"/>
    </row>
    <row r="32" spans="1:44" s="111" customFormat="1" thickBot="1" x14ac:dyDescent="0.25">
      <c r="C32" s="111" t="s">
        <v>281</v>
      </c>
      <c r="D32" s="122"/>
      <c r="E32" s="121">
        <f>D30-E30</f>
        <v>657.90999999998894</v>
      </c>
      <c r="G32" s="118"/>
      <c r="H32" s="122"/>
      <c r="I32" s="121">
        <f>H30-I30</f>
        <v>-44.410000000003492</v>
      </c>
      <c r="K32" s="118"/>
      <c r="L32" s="122"/>
      <c r="M32" s="121">
        <f>L30-M30</f>
        <v>60604.420000000013</v>
      </c>
      <c r="O32" s="118"/>
      <c r="P32" s="122"/>
      <c r="Q32" s="121">
        <f>P30-Q30</f>
        <v>7151.0699999999779</v>
      </c>
      <c r="S32" s="118"/>
      <c r="T32" s="122"/>
      <c r="U32" s="121">
        <f>T30-U30</f>
        <v>4980.8399999999965</v>
      </c>
      <c r="W32" s="118"/>
      <c r="X32" s="122"/>
      <c r="Y32" s="121">
        <f>X30-Y30</f>
        <v>635.48999999999069</v>
      </c>
      <c r="AA32" s="118"/>
      <c r="AB32" s="122"/>
      <c r="AC32" s="121">
        <f>AB30-AC30</f>
        <v>-744.64000000001397</v>
      </c>
      <c r="AE32" s="118"/>
      <c r="AF32" s="122"/>
      <c r="AG32" s="122"/>
      <c r="AH32" s="121">
        <f>AG30-AH30</f>
        <v>3834.4400000000023</v>
      </c>
      <c r="AK32" s="122"/>
      <c r="AL32" s="121">
        <f>AK30-AL30</f>
        <v>82612.09</v>
      </c>
      <c r="AN32" s="118"/>
      <c r="AO32" s="123"/>
      <c r="AP32" s="123"/>
    </row>
    <row r="33" spans="1:53" ht="14.25" thickTop="1" x14ac:dyDescent="0.25">
      <c r="D33" s="120"/>
      <c r="F33" s="216"/>
      <c r="H33" s="120"/>
      <c r="J33" s="216"/>
      <c r="L33" s="120"/>
      <c r="N33" s="216"/>
      <c r="P33" s="120"/>
      <c r="R33" s="216"/>
      <c r="T33" s="120"/>
      <c r="V33" s="80"/>
      <c r="X33" s="120"/>
      <c r="AB33" s="120"/>
      <c r="AF33" s="120"/>
      <c r="AG33" s="120"/>
      <c r="AK33" s="403"/>
      <c r="AO33" s="240" t="s">
        <v>1195</v>
      </c>
      <c r="AP33" s="241"/>
      <c r="AQ33" s="242"/>
      <c r="AR33" s="211"/>
      <c r="AS33" s="111"/>
      <c r="AT33" s="111"/>
      <c r="AU33" s="111"/>
      <c r="AV33" s="111"/>
      <c r="AW33" s="211"/>
      <c r="AX33" s="211"/>
      <c r="AY33" s="211"/>
      <c r="AZ33" s="211"/>
      <c r="BA33" s="211"/>
    </row>
    <row r="34" spans="1:53" x14ac:dyDescent="0.25">
      <c r="A34" s="397"/>
      <c r="B34" s="397"/>
      <c r="C34" s="416"/>
      <c r="D34" s="397"/>
      <c r="E34" s="397"/>
      <c r="F34" s="397"/>
      <c r="G34" s="397"/>
      <c r="H34" s="397"/>
      <c r="I34" s="397"/>
      <c r="J34" s="397"/>
      <c r="K34" s="397"/>
      <c r="L34" s="397"/>
      <c r="M34" s="397"/>
      <c r="N34" s="397"/>
      <c r="O34" s="397"/>
      <c r="P34" s="397"/>
      <c r="Q34" s="397"/>
      <c r="R34" s="397"/>
      <c r="S34" s="397"/>
      <c r="T34" s="397"/>
      <c r="U34" s="397"/>
      <c r="V34" s="397"/>
      <c r="W34" s="397"/>
      <c r="X34" s="397"/>
      <c r="Y34" s="399"/>
      <c r="Z34" s="397"/>
      <c r="AA34" s="397"/>
      <c r="AB34" s="397"/>
      <c r="AC34" s="399"/>
      <c r="AD34" s="397"/>
      <c r="AE34" s="397"/>
      <c r="AF34" s="397"/>
      <c r="AG34" s="397"/>
      <c r="AH34" s="399"/>
      <c r="AI34" s="397"/>
      <c r="AJ34" s="397"/>
      <c r="AK34" s="397"/>
      <c r="AL34" s="399"/>
      <c r="AM34" s="397"/>
      <c r="AO34" s="243" t="s">
        <v>313</v>
      </c>
      <c r="AP34" s="5"/>
      <c r="AQ34" s="299">
        <f>AO9*0.0145</f>
        <v>1799.9112276000001</v>
      </c>
      <c r="AR34" s="211"/>
      <c r="AS34" s="211"/>
      <c r="AT34" s="211"/>
      <c r="AU34" s="211"/>
      <c r="AV34" s="211"/>
      <c r="AW34" s="211"/>
      <c r="AX34" s="211"/>
      <c r="AY34" s="211"/>
      <c r="AZ34" s="211"/>
      <c r="BA34" s="211"/>
    </row>
    <row r="35" spans="1:53" x14ac:dyDescent="0.25">
      <c r="A35" s="176"/>
      <c r="B35" s="174"/>
      <c r="C35" s="176"/>
      <c r="D35" s="399"/>
      <c r="E35" s="399"/>
      <c r="F35" s="4"/>
      <c r="G35" s="397"/>
      <c r="H35" s="399"/>
      <c r="I35" s="399"/>
      <c r="J35" s="4"/>
      <c r="K35" s="397"/>
      <c r="L35" s="399"/>
      <c r="M35" s="399"/>
      <c r="N35" s="4"/>
      <c r="O35" s="397"/>
      <c r="P35" s="399"/>
      <c r="Q35" s="399"/>
      <c r="R35" s="4"/>
      <c r="S35" s="397"/>
      <c r="T35" s="399"/>
      <c r="U35" s="399"/>
      <c r="V35" s="4"/>
      <c r="W35" s="397"/>
      <c r="X35" s="399"/>
      <c r="Y35" s="399"/>
      <c r="Z35" s="4"/>
      <c r="AA35" s="397"/>
      <c r="AB35" s="399"/>
      <c r="AC35" s="399"/>
      <c r="AD35" s="4"/>
      <c r="AE35" s="397"/>
      <c r="AF35" s="399"/>
      <c r="AG35" s="399"/>
      <c r="AH35" s="399"/>
      <c r="AI35" s="4"/>
      <c r="AJ35" s="4"/>
      <c r="AK35" s="399"/>
      <c r="AL35" s="399"/>
      <c r="AM35" s="4"/>
      <c r="AO35" s="210" t="s">
        <v>314</v>
      </c>
      <c r="AP35" s="5"/>
      <c r="AQ35" s="299">
        <f>AO9*0.0009</f>
        <v>111.71862792</v>
      </c>
      <c r="AR35" s="211"/>
      <c r="AS35" s="213"/>
      <c r="AT35" s="213"/>
      <c r="AU35" s="213"/>
      <c r="AV35" s="213"/>
      <c r="AW35" s="211"/>
      <c r="AX35" s="211"/>
      <c r="AY35" s="211"/>
      <c r="AZ35" s="211"/>
      <c r="BA35" s="211"/>
    </row>
    <row r="36" spans="1:53" x14ac:dyDescent="0.25">
      <c r="A36" s="176"/>
      <c r="B36" s="174"/>
      <c r="C36" s="176"/>
      <c r="D36" s="399"/>
      <c r="E36" s="399"/>
      <c r="F36" s="4"/>
      <c r="G36" s="397"/>
      <c r="H36" s="399"/>
      <c r="I36" s="399"/>
      <c r="J36" s="4"/>
      <c r="K36" s="397"/>
      <c r="L36" s="399"/>
      <c r="M36" s="399"/>
      <c r="N36" s="4"/>
      <c r="O36" s="397"/>
      <c r="P36" s="399"/>
      <c r="Q36" s="399"/>
      <c r="R36" s="4"/>
      <c r="S36" s="397"/>
      <c r="T36" s="399"/>
      <c r="U36" s="399"/>
      <c r="V36" s="4"/>
      <c r="W36" s="397"/>
      <c r="X36" s="399"/>
      <c r="Y36" s="399"/>
      <c r="Z36" s="4"/>
      <c r="AA36" s="397"/>
      <c r="AB36" s="399"/>
      <c r="AC36" s="399"/>
      <c r="AD36" s="4"/>
      <c r="AE36" s="397"/>
      <c r="AF36" s="399"/>
      <c r="AG36" s="399"/>
      <c r="AH36" s="399"/>
      <c r="AI36" s="4"/>
      <c r="AJ36" s="4"/>
      <c r="AK36" s="399"/>
      <c r="AL36" s="399"/>
      <c r="AM36" s="4"/>
      <c r="AO36" s="210" t="s">
        <v>315</v>
      </c>
      <c r="AP36" s="5"/>
      <c r="AQ36" s="299">
        <f>AO9*0.003</f>
        <v>372.39542640000002</v>
      </c>
      <c r="AR36" s="211"/>
      <c r="AS36" s="211"/>
      <c r="AT36" s="211"/>
      <c r="AU36" s="211"/>
      <c r="AV36" s="211"/>
      <c r="AW36" s="211"/>
      <c r="AX36" s="211"/>
      <c r="AY36" s="211"/>
      <c r="AZ36" s="211"/>
      <c r="BA36" s="211"/>
    </row>
    <row r="37" spans="1:53" x14ac:dyDescent="0.25">
      <c r="A37" s="176"/>
      <c r="B37" s="174"/>
      <c r="C37" s="176"/>
      <c r="D37" s="399"/>
      <c r="E37" s="399"/>
      <c r="F37" s="4"/>
      <c r="G37" s="397"/>
      <c r="H37" s="399"/>
      <c r="I37" s="399"/>
      <c r="J37" s="4"/>
      <c r="K37" s="397"/>
      <c r="L37" s="399"/>
      <c r="M37" s="399"/>
      <c r="N37" s="4"/>
      <c r="O37" s="397"/>
      <c r="P37" s="399"/>
      <c r="Q37" s="399"/>
      <c r="R37" s="4"/>
      <c r="S37" s="397"/>
      <c r="T37" s="399"/>
      <c r="U37" s="399"/>
      <c r="V37" s="4"/>
      <c r="W37" s="397"/>
      <c r="X37" s="399"/>
      <c r="Y37" s="399"/>
      <c r="Z37" s="4"/>
      <c r="AA37" s="397"/>
      <c r="AB37" s="399"/>
      <c r="AC37" s="399"/>
      <c r="AD37" s="4"/>
      <c r="AE37" s="397"/>
      <c r="AF37" s="399"/>
      <c r="AG37" s="399"/>
      <c r="AH37" s="399"/>
      <c r="AI37" s="4"/>
      <c r="AJ37" s="4"/>
      <c r="AK37" s="399"/>
      <c r="AL37" s="399"/>
      <c r="AM37" s="4"/>
      <c r="AO37" s="210" t="s">
        <v>316</v>
      </c>
      <c r="AP37" s="5"/>
      <c r="AQ37" s="299">
        <f>'County Retirement'!G24</f>
        <v>15181.674230812474</v>
      </c>
      <c r="AR37" s="211"/>
      <c r="AS37" s="147"/>
      <c r="AT37" s="147"/>
      <c r="AU37" s="147"/>
      <c r="AV37" s="147"/>
      <c r="AW37" s="211"/>
      <c r="AX37" s="211"/>
      <c r="AY37" s="211"/>
      <c r="AZ37" s="211"/>
      <c r="BA37" s="211"/>
    </row>
    <row r="38" spans="1:53" x14ac:dyDescent="0.25">
      <c r="A38" s="397"/>
      <c r="B38" s="397"/>
      <c r="C38" s="118"/>
      <c r="D38" s="415"/>
      <c r="E38" s="415"/>
      <c r="F38" s="4"/>
      <c r="G38" s="118"/>
      <c r="H38" s="415"/>
      <c r="I38" s="415"/>
      <c r="J38" s="4"/>
      <c r="K38" s="118"/>
      <c r="L38" s="415"/>
      <c r="M38" s="415"/>
      <c r="N38" s="4"/>
      <c r="O38" s="118"/>
      <c r="P38" s="415"/>
      <c r="Q38" s="415"/>
      <c r="R38" s="4"/>
      <c r="S38" s="118"/>
      <c r="T38" s="415"/>
      <c r="U38" s="415"/>
      <c r="V38" s="4"/>
      <c r="W38" s="118"/>
      <c r="X38" s="399"/>
      <c r="Y38" s="399"/>
      <c r="Z38" s="4"/>
      <c r="AA38" s="397"/>
      <c r="AB38" s="399"/>
      <c r="AC38" s="399"/>
      <c r="AD38" s="4"/>
      <c r="AE38" s="397"/>
      <c r="AF38" s="399"/>
      <c r="AG38" s="399"/>
      <c r="AH38" s="399"/>
      <c r="AI38" s="4"/>
      <c r="AJ38" s="4"/>
      <c r="AK38" s="399"/>
      <c r="AL38" s="399"/>
      <c r="AM38" s="4"/>
      <c r="AO38" s="210" t="s">
        <v>317</v>
      </c>
      <c r="AP38" s="5"/>
      <c r="AQ38" s="300">
        <f>'Health Ins'!L45</f>
        <v>30816</v>
      </c>
      <c r="AR38" s="211"/>
      <c r="AS38" s="211"/>
      <c r="AT38" s="211"/>
      <c r="AU38" s="211"/>
      <c r="AV38" s="211"/>
      <c r="AW38" s="211"/>
      <c r="AX38" s="211"/>
      <c r="AY38" s="211"/>
      <c r="AZ38" s="211"/>
      <c r="BA38" s="211"/>
    </row>
    <row r="39" spans="1:53" x14ac:dyDescent="0.25">
      <c r="A39" s="397"/>
      <c r="B39" s="397"/>
      <c r="C39" s="397"/>
      <c r="D39" s="397"/>
      <c r="E39" s="397"/>
      <c r="F39" s="397"/>
      <c r="G39" s="397"/>
      <c r="H39" s="397"/>
      <c r="I39" s="397"/>
      <c r="J39" s="397"/>
      <c r="K39" s="397"/>
      <c r="L39" s="397"/>
      <c r="M39" s="397"/>
      <c r="N39" s="397"/>
      <c r="O39" s="397"/>
      <c r="P39" s="397"/>
      <c r="Q39" s="397"/>
      <c r="R39" s="397"/>
      <c r="S39" s="397"/>
      <c r="T39" s="397"/>
      <c r="U39" s="397"/>
      <c r="V39" s="397"/>
      <c r="W39" s="397"/>
      <c r="X39" s="399"/>
      <c r="Y39" s="399"/>
      <c r="Z39" s="4"/>
      <c r="AA39" s="397"/>
      <c r="AB39" s="399"/>
      <c r="AC39" s="399"/>
      <c r="AD39" s="4"/>
      <c r="AE39" s="397"/>
      <c r="AF39" s="399"/>
      <c r="AG39" s="399"/>
      <c r="AH39" s="399"/>
      <c r="AI39" s="397"/>
      <c r="AJ39" s="397"/>
      <c r="AK39" s="399"/>
      <c r="AL39" s="399"/>
      <c r="AM39" s="4"/>
      <c r="AO39" s="235"/>
      <c r="AP39" s="237"/>
      <c r="AQ39" s="301">
        <f>SUM(AQ34:AQ38)</f>
        <v>48281.699512732477</v>
      </c>
      <c r="AR39" s="211"/>
      <c r="AS39" s="114"/>
      <c r="AT39" s="114"/>
      <c r="AU39" s="114"/>
      <c r="AV39" s="114"/>
      <c r="AW39" s="211"/>
      <c r="AX39" s="211"/>
      <c r="AY39" s="211"/>
      <c r="AZ39" s="211"/>
      <c r="BA39" s="211"/>
    </row>
    <row r="40" spans="1:53" x14ac:dyDescent="0.25">
      <c r="F40" s="216"/>
      <c r="J40" s="216"/>
      <c r="N40" s="216"/>
      <c r="R40" s="216"/>
      <c r="V40" s="80"/>
      <c r="AO40" s="212"/>
      <c r="AP40" s="212"/>
      <c r="AQ40" s="211"/>
      <c r="AR40" s="211"/>
      <c r="AS40" s="211"/>
      <c r="AT40" s="211"/>
      <c r="AU40" s="211"/>
      <c r="AV40" s="211"/>
      <c r="AW40" s="211"/>
      <c r="AX40" s="211"/>
      <c r="AY40" s="211"/>
      <c r="AZ40" s="211"/>
      <c r="BA40" s="211"/>
    </row>
    <row r="41" spans="1:53" x14ac:dyDescent="0.25">
      <c r="F41" s="216"/>
      <c r="J41" s="216"/>
      <c r="N41" s="216"/>
      <c r="R41" s="216"/>
      <c r="V41" s="80"/>
      <c r="AO41" s="212"/>
      <c r="AP41" s="212"/>
      <c r="AQ41" s="211"/>
      <c r="AR41" s="211"/>
      <c r="AS41" s="211"/>
      <c r="AT41" s="211"/>
      <c r="AU41" s="211"/>
      <c r="AV41" s="211"/>
      <c r="AW41" s="211"/>
      <c r="AX41" s="211"/>
      <c r="AY41" s="211"/>
      <c r="AZ41" s="211"/>
      <c r="BA41" s="211"/>
    </row>
    <row r="42" spans="1:53" x14ac:dyDescent="0.25">
      <c r="D42" s="120"/>
      <c r="F42" s="216"/>
      <c r="H42" s="120"/>
      <c r="J42" s="216"/>
      <c r="L42" s="120"/>
      <c r="N42" s="216"/>
      <c r="P42" s="120"/>
      <c r="R42" s="216"/>
      <c r="T42" s="120"/>
      <c r="V42" s="80"/>
      <c r="X42" s="120"/>
      <c r="AB42" s="120"/>
      <c r="AF42" s="120"/>
      <c r="AG42" s="120"/>
      <c r="AK42" s="403"/>
      <c r="AO42" s="212"/>
      <c r="AP42" s="212"/>
      <c r="AQ42" s="211"/>
      <c r="AR42" s="211"/>
      <c r="AS42" s="211"/>
      <c r="AT42" s="211"/>
      <c r="AU42" s="211"/>
      <c r="AV42" s="211"/>
      <c r="AW42" s="211"/>
      <c r="AX42" s="211"/>
      <c r="AY42" s="211"/>
      <c r="AZ42" s="211"/>
      <c r="BA42" s="211"/>
    </row>
    <row r="43" spans="1:53" x14ac:dyDescent="0.25">
      <c r="D43" s="120"/>
      <c r="F43" s="216"/>
      <c r="H43" s="120"/>
      <c r="J43" s="216"/>
      <c r="L43" s="120"/>
      <c r="N43" s="216"/>
      <c r="P43" s="120"/>
      <c r="R43" s="216"/>
      <c r="T43" s="120"/>
      <c r="V43" s="80"/>
      <c r="X43" s="120"/>
      <c r="AB43" s="120"/>
      <c r="AF43" s="120"/>
      <c r="AG43" s="120"/>
      <c r="AK43" s="403"/>
      <c r="AO43" s="131"/>
      <c r="AP43" s="131"/>
      <c r="AQ43" s="211"/>
      <c r="AR43" s="211"/>
      <c r="AS43" s="211"/>
      <c r="AT43" s="211"/>
      <c r="AU43" s="211"/>
      <c r="AV43" s="211"/>
      <c r="AW43" s="211"/>
      <c r="AX43" s="211"/>
      <c r="AY43" s="211"/>
      <c r="AZ43" s="211"/>
      <c r="BA43" s="211"/>
    </row>
    <row r="44" spans="1:53" x14ac:dyDescent="0.25">
      <c r="D44" s="120"/>
      <c r="F44" s="216"/>
      <c r="H44" s="120"/>
      <c r="J44" s="216"/>
      <c r="L44" s="120"/>
      <c r="N44" s="216"/>
      <c r="P44" s="120"/>
      <c r="R44" s="216"/>
      <c r="T44" s="120"/>
      <c r="V44" s="80"/>
      <c r="X44" s="120"/>
      <c r="AB44" s="120"/>
      <c r="AF44" s="120"/>
      <c r="AG44" s="120"/>
      <c r="AK44" s="403"/>
      <c r="AO44" s="131"/>
      <c r="AP44" s="131"/>
      <c r="AQ44" s="211"/>
      <c r="AR44" s="211"/>
      <c r="AS44" s="211"/>
      <c r="AT44" s="211"/>
      <c r="AU44" s="211"/>
      <c r="AV44" s="211"/>
      <c r="AW44" s="211"/>
      <c r="AX44" s="211"/>
      <c r="AY44" s="211"/>
      <c r="AZ44" s="211"/>
      <c r="BA44" s="211"/>
    </row>
    <row r="45" spans="1:53" x14ac:dyDescent="0.25">
      <c r="D45" s="120"/>
      <c r="F45" s="216"/>
      <c r="H45" s="120"/>
      <c r="J45" s="216"/>
      <c r="L45" s="120"/>
      <c r="N45" s="216"/>
      <c r="P45" s="120"/>
      <c r="R45" s="216"/>
      <c r="T45" s="120"/>
      <c r="V45" s="80"/>
      <c r="X45" s="120"/>
      <c r="AB45" s="120"/>
      <c r="AF45" s="120"/>
      <c r="AG45" s="120"/>
      <c r="AK45" s="403"/>
      <c r="AO45" s="212"/>
      <c r="AP45" s="212"/>
      <c r="AQ45" s="211"/>
      <c r="AR45" s="211"/>
      <c r="AS45" s="211"/>
      <c r="AT45" s="211"/>
      <c r="AU45" s="211"/>
      <c r="AV45" s="211"/>
      <c r="AW45" s="211"/>
      <c r="AX45" s="211"/>
      <c r="AY45" s="211"/>
      <c r="AZ45" s="211"/>
      <c r="BA45" s="211"/>
    </row>
    <row r="46" spans="1:53" x14ac:dyDescent="0.25">
      <c r="D46" s="120"/>
      <c r="F46" s="216"/>
      <c r="H46" s="120"/>
      <c r="J46" s="216"/>
      <c r="L46" s="120"/>
      <c r="N46" s="216"/>
      <c r="P46" s="120"/>
      <c r="R46" s="216"/>
      <c r="T46" s="120"/>
      <c r="V46" s="80"/>
      <c r="X46" s="120"/>
      <c r="AB46" s="120"/>
      <c r="AF46" s="120"/>
      <c r="AG46" s="120"/>
      <c r="AK46" s="403"/>
      <c r="AO46" s="131"/>
      <c r="AP46" s="211"/>
      <c r="AQ46" s="211"/>
      <c r="AR46" s="211"/>
      <c r="AS46" s="211"/>
      <c r="AT46" s="211"/>
      <c r="AU46" s="211"/>
      <c r="AV46" s="211"/>
      <c r="AW46" s="211"/>
      <c r="AX46" s="211"/>
      <c r="AY46" s="211"/>
      <c r="AZ46" s="211"/>
      <c r="BA46" s="211"/>
    </row>
    <row r="47" spans="1:53" x14ac:dyDescent="0.25">
      <c r="D47" s="120"/>
      <c r="F47" s="216"/>
      <c r="H47" s="120"/>
      <c r="J47" s="216"/>
      <c r="L47" s="120"/>
      <c r="N47" s="216"/>
      <c r="P47" s="120"/>
      <c r="R47" s="216"/>
      <c r="T47" s="120"/>
      <c r="V47" s="80"/>
      <c r="X47" s="120"/>
      <c r="AB47" s="120"/>
      <c r="AF47" s="120"/>
      <c r="AG47" s="120"/>
      <c r="AK47" s="403"/>
      <c r="AO47" s="131"/>
      <c r="AP47" s="211"/>
      <c r="AQ47" s="211"/>
      <c r="AR47" s="211"/>
      <c r="AS47" s="211"/>
      <c r="AT47" s="211"/>
      <c r="AU47" s="211"/>
      <c r="AV47" s="211"/>
      <c r="AW47" s="211"/>
      <c r="AX47" s="211"/>
      <c r="AY47" s="211"/>
      <c r="AZ47" s="211"/>
      <c r="BA47" s="211"/>
    </row>
    <row r="48" spans="1:53" x14ac:dyDescent="0.25">
      <c r="D48" s="120"/>
      <c r="H48" s="120"/>
      <c r="L48" s="120"/>
      <c r="P48" s="120"/>
      <c r="T48" s="120"/>
      <c r="X48" s="120"/>
      <c r="AB48" s="120"/>
      <c r="AF48" s="120"/>
      <c r="AG48" s="120"/>
      <c r="AK48" s="403"/>
      <c r="AO48" s="131"/>
      <c r="AP48" s="211"/>
      <c r="AQ48" s="211"/>
      <c r="AR48" s="211"/>
      <c r="AS48" s="211"/>
      <c r="AT48" s="211"/>
      <c r="AU48" s="211"/>
      <c r="AV48" s="211"/>
      <c r="AW48" s="211"/>
      <c r="AX48" s="211"/>
      <c r="AY48" s="211"/>
      <c r="AZ48" s="211"/>
      <c r="BA48" s="211"/>
    </row>
    <row r="49" spans="4:53" x14ac:dyDescent="0.25">
      <c r="D49" s="120"/>
      <c r="H49" s="120"/>
      <c r="L49" s="120"/>
      <c r="P49" s="120"/>
      <c r="T49" s="120"/>
      <c r="X49" s="120"/>
      <c r="AB49" s="120"/>
      <c r="AF49" s="120"/>
      <c r="AG49" s="120"/>
      <c r="AK49" s="403"/>
      <c r="AO49" s="212"/>
      <c r="AP49" s="212"/>
      <c r="AQ49" s="211"/>
      <c r="AR49" s="211"/>
      <c r="AS49" s="211"/>
      <c r="AT49" s="211"/>
      <c r="AU49" s="211"/>
      <c r="AV49" s="211"/>
      <c r="AW49" s="211"/>
      <c r="AX49" s="211"/>
      <c r="AY49" s="211"/>
      <c r="AZ49" s="211"/>
      <c r="BA49" s="211"/>
    </row>
    <row r="50" spans="4:53" x14ac:dyDescent="0.25">
      <c r="D50" s="120"/>
      <c r="H50" s="120"/>
      <c r="L50" s="120"/>
      <c r="P50" s="120"/>
      <c r="T50" s="120"/>
      <c r="X50" s="120"/>
      <c r="AB50" s="120"/>
      <c r="AF50" s="120"/>
      <c r="AG50" s="120"/>
      <c r="AK50" s="403"/>
      <c r="AO50" s="212"/>
      <c r="AP50" s="212"/>
      <c r="AQ50" s="211"/>
      <c r="AR50" s="211"/>
      <c r="AS50" s="211"/>
      <c r="AT50" s="211"/>
      <c r="AU50" s="211"/>
      <c r="AV50" s="211"/>
      <c r="AW50" s="211"/>
      <c r="AX50" s="211"/>
      <c r="AY50" s="211"/>
      <c r="AZ50" s="211"/>
      <c r="BA50" s="211"/>
    </row>
    <row r="51" spans="4:53" x14ac:dyDescent="0.25">
      <c r="D51" s="120"/>
      <c r="H51" s="120"/>
      <c r="L51" s="120"/>
      <c r="P51" s="120"/>
      <c r="T51" s="120"/>
      <c r="X51" s="120"/>
      <c r="AB51" s="120"/>
      <c r="AF51" s="120"/>
      <c r="AG51" s="120"/>
      <c r="AK51" s="403"/>
      <c r="AO51" s="212"/>
      <c r="AP51" s="212"/>
      <c r="AQ51" s="211"/>
      <c r="AR51" s="211"/>
      <c r="AS51" s="211"/>
      <c r="AT51" s="211"/>
      <c r="AU51" s="211"/>
      <c r="AV51" s="211"/>
      <c r="AW51" s="211"/>
      <c r="AX51" s="211"/>
      <c r="AY51" s="211"/>
      <c r="AZ51" s="211"/>
      <c r="BA51" s="211"/>
    </row>
    <row r="52" spans="4:53" x14ac:dyDescent="0.25">
      <c r="D52" s="120"/>
      <c r="H52" s="120"/>
      <c r="L52" s="120"/>
      <c r="P52" s="120"/>
      <c r="T52" s="120"/>
      <c r="X52" s="120"/>
      <c r="AB52" s="120"/>
      <c r="AF52" s="120"/>
      <c r="AG52" s="120"/>
      <c r="AK52" s="403"/>
      <c r="AO52" s="212"/>
      <c r="AP52" s="212"/>
      <c r="AQ52" s="211"/>
      <c r="AR52" s="211"/>
      <c r="AS52" s="211"/>
      <c r="AT52" s="211"/>
      <c r="AU52" s="211"/>
      <c r="AV52" s="211"/>
      <c r="AW52" s="211"/>
      <c r="AX52" s="211"/>
      <c r="AY52" s="211"/>
      <c r="AZ52" s="211"/>
      <c r="BA52" s="211"/>
    </row>
    <row r="53" spans="4:53" x14ac:dyDescent="0.25">
      <c r="D53" s="120"/>
      <c r="H53" s="120"/>
      <c r="L53" s="120"/>
      <c r="P53" s="120"/>
      <c r="T53" s="120"/>
      <c r="X53" s="120"/>
      <c r="AB53" s="120"/>
      <c r="AF53" s="120"/>
      <c r="AG53" s="120"/>
      <c r="AK53" s="403"/>
      <c r="AO53" s="212"/>
      <c r="AP53" s="212"/>
      <c r="AQ53" s="211"/>
      <c r="AR53" s="211"/>
      <c r="AS53" s="211"/>
      <c r="AT53" s="211"/>
      <c r="AU53" s="211"/>
      <c r="AV53" s="211"/>
      <c r="AW53" s="211"/>
      <c r="AX53" s="211"/>
      <c r="AY53" s="211"/>
      <c r="AZ53" s="211"/>
      <c r="BA53" s="211"/>
    </row>
    <row r="54" spans="4:53" x14ac:dyDescent="0.25">
      <c r="D54" s="120"/>
      <c r="H54" s="120"/>
      <c r="L54" s="120"/>
      <c r="P54" s="120"/>
      <c r="T54" s="120"/>
      <c r="X54" s="120"/>
      <c r="AB54" s="120"/>
      <c r="AF54" s="120"/>
      <c r="AG54" s="120"/>
      <c r="AK54" s="403"/>
      <c r="AO54" s="212"/>
      <c r="AP54" s="212"/>
      <c r="AQ54" s="211"/>
      <c r="AR54" s="211"/>
      <c r="AS54" s="211"/>
      <c r="AT54" s="211"/>
      <c r="AU54" s="211"/>
      <c r="AV54" s="211"/>
      <c r="AW54" s="211"/>
      <c r="AX54" s="211"/>
      <c r="AY54" s="211"/>
      <c r="AZ54" s="211"/>
      <c r="BA54" s="211"/>
    </row>
    <row r="55" spans="4:53" x14ac:dyDescent="0.25">
      <c r="D55" s="120"/>
      <c r="H55" s="120"/>
      <c r="L55" s="120"/>
      <c r="P55" s="120"/>
      <c r="T55" s="120"/>
      <c r="X55" s="120"/>
      <c r="AB55" s="120"/>
      <c r="AF55" s="120"/>
      <c r="AG55" s="120"/>
      <c r="AK55" s="403"/>
      <c r="AO55" s="212"/>
      <c r="AP55" s="212"/>
      <c r="AQ55" s="211"/>
      <c r="AR55" s="211"/>
      <c r="AS55" s="211"/>
      <c r="AT55" s="211"/>
      <c r="AU55" s="211"/>
      <c r="AV55" s="211"/>
      <c r="AW55" s="211"/>
      <c r="AX55" s="211"/>
      <c r="AY55" s="211"/>
      <c r="AZ55" s="211"/>
      <c r="BA55" s="211"/>
    </row>
    <row r="56" spans="4:53" x14ac:dyDescent="0.25">
      <c r="D56" s="120"/>
      <c r="H56" s="120"/>
      <c r="L56" s="120"/>
      <c r="P56" s="120"/>
      <c r="T56" s="120"/>
      <c r="X56" s="120"/>
      <c r="AB56" s="120"/>
      <c r="AF56" s="120"/>
      <c r="AG56" s="120"/>
      <c r="AK56" s="403"/>
      <c r="AO56" s="212"/>
      <c r="AP56" s="212"/>
      <c r="AQ56" s="211"/>
      <c r="AR56" s="211"/>
      <c r="AS56" s="211"/>
      <c r="AT56" s="211"/>
      <c r="AU56" s="211"/>
      <c r="AV56" s="211"/>
      <c r="AW56" s="211"/>
      <c r="AX56" s="211"/>
      <c r="AY56" s="211"/>
      <c r="AZ56" s="211"/>
      <c r="BA56" s="211"/>
    </row>
    <row r="57" spans="4:53" x14ac:dyDescent="0.25">
      <c r="D57" s="120"/>
      <c r="H57" s="120"/>
      <c r="L57" s="120"/>
      <c r="P57" s="120"/>
      <c r="T57" s="120"/>
      <c r="X57" s="120"/>
      <c r="AB57" s="120"/>
      <c r="AF57" s="120"/>
      <c r="AG57" s="120"/>
      <c r="AK57" s="403"/>
    </row>
    <row r="58" spans="4:53" x14ac:dyDescent="0.25">
      <c r="D58" s="120"/>
      <c r="H58" s="120"/>
      <c r="L58" s="120"/>
      <c r="P58" s="120"/>
      <c r="T58" s="120"/>
      <c r="X58" s="120"/>
      <c r="AB58" s="120"/>
      <c r="AF58" s="120"/>
      <c r="AG58" s="120"/>
      <c r="AK58" s="403"/>
    </row>
    <row r="59" spans="4:53" x14ac:dyDescent="0.25">
      <c r="D59" s="120"/>
      <c r="H59" s="120"/>
      <c r="L59" s="120"/>
      <c r="P59" s="120"/>
      <c r="T59" s="120"/>
      <c r="X59" s="120"/>
      <c r="AB59" s="120"/>
      <c r="AF59" s="120"/>
      <c r="AG59" s="120"/>
      <c r="AK59" s="403"/>
    </row>
    <row r="60" spans="4:53" x14ac:dyDescent="0.25">
      <c r="D60" s="120"/>
      <c r="H60" s="120"/>
      <c r="L60" s="120"/>
      <c r="P60" s="120"/>
      <c r="T60" s="120"/>
      <c r="X60" s="120"/>
      <c r="AB60" s="120"/>
      <c r="AF60" s="120"/>
      <c r="AG60" s="120"/>
      <c r="AK60" s="403"/>
    </row>
    <row r="61" spans="4:53" x14ac:dyDescent="0.25">
      <c r="D61" s="120"/>
      <c r="H61" s="120"/>
      <c r="L61" s="120"/>
      <c r="P61" s="120"/>
      <c r="T61" s="120"/>
      <c r="X61" s="120"/>
      <c r="AB61" s="120"/>
      <c r="AF61" s="120"/>
      <c r="AG61" s="120"/>
      <c r="AK61" s="403"/>
    </row>
    <row r="62" spans="4:53" x14ac:dyDescent="0.25">
      <c r="D62" s="120"/>
      <c r="H62" s="120"/>
      <c r="L62" s="120"/>
      <c r="P62" s="120"/>
      <c r="T62" s="120"/>
      <c r="X62" s="120"/>
      <c r="AB62" s="120"/>
      <c r="AF62" s="120"/>
      <c r="AG62" s="120"/>
      <c r="AK62" s="403"/>
    </row>
    <row r="63" spans="4:53" x14ac:dyDescent="0.25">
      <c r="D63" s="120"/>
      <c r="H63" s="120"/>
      <c r="L63" s="120"/>
      <c r="P63" s="120"/>
      <c r="T63" s="120"/>
      <c r="X63" s="120"/>
      <c r="AB63" s="120"/>
      <c r="AF63" s="120"/>
      <c r="AG63" s="120"/>
      <c r="AK63" s="403"/>
    </row>
    <row r="64" spans="4:53"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5" orientation="landscape" r:id="rId1"/>
  <headerFooter alignWithMargins="0">
    <oddHeader>&amp;C&amp;"-,Bold"Proposed Budget &amp; Analysis Report for FY20</oddHeader>
    <oddFooter>&amp;C&amp;D&amp;T&amp;R&amp;A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3:AR335"/>
  <sheetViews>
    <sheetView topLeftCell="C1" zoomScaleNormal="100" zoomScaleSheetLayoutView="100" workbookViewId="0">
      <selection activeCell="C15" sqref="C15"/>
    </sheetView>
  </sheetViews>
  <sheetFormatPr defaultRowHeight="13.5" x14ac:dyDescent="0.25"/>
  <cols>
    <col min="1" max="1" width="19" style="161" hidden="1" customWidth="1"/>
    <col min="2" max="2" width="5" style="161" hidden="1" customWidth="1"/>
    <col min="3" max="3" width="33.28515625" style="161" customWidth="1"/>
    <col min="4" max="5" width="13.28515625" style="211" hidden="1" customWidth="1"/>
    <col min="6" max="6" width="7.7109375" style="211" hidden="1" customWidth="1"/>
    <col min="7" max="7" width="1.85546875" style="213" hidden="1" customWidth="1"/>
    <col min="8" max="9" width="13.28515625" style="211" hidden="1" customWidth="1"/>
    <col min="10" max="10" width="7.7109375" style="211" hidden="1" customWidth="1"/>
    <col min="11" max="11" width="1.85546875" style="213" hidden="1" customWidth="1"/>
    <col min="12" max="13" width="13.28515625" style="211" hidden="1" customWidth="1"/>
    <col min="14" max="14" width="7.7109375" style="211" hidden="1" customWidth="1"/>
    <col min="15" max="15" width="1.85546875" style="213" hidden="1" customWidth="1"/>
    <col min="16" max="17" width="13.28515625" style="211" hidden="1" customWidth="1"/>
    <col min="18" max="18" width="7.7109375" style="211" hidden="1" customWidth="1"/>
    <col min="19" max="19" width="1.85546875" style="213" hidden="1" customWidth="1"/>
    <col min="20" max="21" width="13.28515625" style="161" hidden="1" customWidth="1"/>
    <col min="22" max="22" width="7.7109375" style="161" hidden="1" customWidth="1"/>
    <col min="23" max="23" width="1.85546875" style="103" hidden="1" customWidth="1"/>
    <col min="24" max="25" width="13.28515625" style="161" hidden="1" customWidth="1"/>
    <col min="26" max="26" width="8.28515625" style="161" hidden="1" customWidth="1"/>
    <col min="27" max="27" width="1.85546875" style="103" hidden="1" customWidth="1"/>
    <col min="28" max="28" width="13.28515625" style="161" customWidth="1"/>
    <col min="29" max="29" width="13.28515625" style="161" bestFit="1" customWidth="1"/>
    <col min="30" max="30" width="8.28515625" style="161" bestFit="1" customWidth="1"/>
    <col min="31" max="31" width="1.85546875" style="213" customWidth="1"/>
    <col min="32" max="32" width="13.28515625" style="211" customWidth="1"/>
    <col min="33" max="33" width="13.28515625" style="211" hidden="1" customWidth="1"/>
    <col min="34" max="34" width="13.28515625" style="211" bestFit="1" customWidth="1"/>
    <col min="35" max="35" width="8.28515625" style="211" bestFit="1" customWidth="1"/>
    <col min="36" max="36" width="1.85546875" style="161" customWidth="1"/>
    <col min="37" max="37" width="13.28515625" style="394" customWidth="1"/>
    <col min="38" max="38" width="13.28515625" style="394" bestFit="1" customWidth="1"/>
    <col min="39" max="39" width="8.28515625" style="394" bestFit="1" customWidth="1"/>
    <col min="40" max="40" width="1.85546875" style="397" customWidth="1"/>
    <col min="41" max="41" width="13.5703125" style="104" customWidth="1"/>
    <col min="42" max="42" width="14" style="104" bestFit="1" customWidth="1"/>
    <col min="43" max="43" width="9.5703125" style="161" bestFit="1" customWidth="1"/>
    <col min="44" max="44" width="18.5703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1976</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D6" s="112"/>
      <c r="E6" s="112"/>
      <c r="H6" s="112"/>
      <c r="I6" s="112"/>
      <c r="L6" s="112"/>
      <c r="M6" s="112"/>
      <c r="P6" s="112"/>
      <c r="Q6" s="112"/>
      <c r="T6" s="112"/>
      <c r="U6" s="112"/>
      <c r="X6" s="112"/>
      <c r="Y6" s="112"/>
      <c r="AB6" s="112"/>
      <c r="AC6" s="112"/>
      <c r="AF6" s="212">
        <v>0</v>
      </c>
      <c r="AG6" s="212">
        <v>0</v>
      </c>
      <c r="AH6" s="112"/>
      <c r="AK6" s="112"/>
      <c r="AL6" s="112"/>
      <c r="AO6" s="104">
        <v>0</v>
      </c>
      <c r="AP6" s="104">
        <f>AO6-T6</f>
        <v>0</v>
      </c>
      <c r="AR6" s="1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f>SUM(AF6)</f>
        <v>0</v>
      </c>
      <c r="AG7" s="227">
        <f>SUM(AG6)</f>
        <v>0</v>
      </c>
      <c r="AH7" s="225">
        <f>SUM(AH6:AH6)</f>
        <v>0</v>
      </c>
      <c r="AI7" s="226"/>
      <c r="AJ7" s="226"/>
      <c r="AK7" s="225">
        <f>SUM(AK6:AK6)</f>
        <v>0</v>
      </c>
      <c r="AL7" s="225">
        <f>SUM(AL6:AL6)</f>
        <v>0</v>
      </c>
      <c r="AM7" s="226"/>
      <c r="AN7" s="224"/>
      <c r="AO7" s="227">
        <f>SUM(AO6)</f>
        <v>0</v>
      </c>
      <c r="AP7" s="225">
        <f>AO7-T7</f>
        <v>0</v>
      </c>
      <c r="AQ7" s="226"/>
      <c r="AR7" s="224"/>
    </row>
    <row r="8" spans="1:44" x14ac:dyDescent="0.25">
      <c r="D8" s="112"/>
      <c r="E8" s="112"/>
      <c r="H8" s="112"/>
      <c r="I8" s="112"/>
      <c r="L8" s="112"/>
      <c r="M8" s="112"/>
      <c r="P8" s="112"/>
      <c r="Q8" s="112"/>
      <c r="T8" s="112"/>
      <c r="U8" s="112"/>
      <c r="X8" s="112"/>
      <c r="Y8" s="112"/>
      <c r="AB8" s="112"/>
      <c r="AC8" s="112"/>
      <c r="AF8" s="212"/>
      <c r="AG8" s="212"/>
      <c r="AH8" s="112"/>
      <c r="AK8" s="112"/>
      <c r="AL8" s="112"/>
    </row>
    <row r="9" spans="1:44" x14ac:dyDescent="0.25">
      <c r="C9" s="111" t="s">
        <v>277</v>
      </c>
      <c r="D9" s="112"/>
      <c r="E9" s="112"/>
      <c r="H9" s="112"/>
      <c r="I9" s="112"/>
      <c r="L9" s="112"/>
      <c r="M9" s="112"/>
      <c r="P9" s="112"/>
      <c r="Q9" s="112"/>
      <c r="T9" s="112"/>
      <c r="U9" s="112"/>
      <c r="X9" s="112"/>
      <c r="Y9" s="112"/>
      <c r="AB9" s="112"/>
      <c r="AC9" s="112"/>
      <c r="AF9" s="112"/>
      <c r="AG9" s="112"/>
      <c r="AH9" s="112"/>
      <c r="AK9" s="112"/>
      <c r="AL9" s="112"/>
      <c r="AO9" s="112"/>
      <c r="AR9" s="111"/>
    </row>
    <row r="10" spans="1:44" ht="14.25" x14ac:dyDescent="0.3">
      <c r="A10" s="161" t="s">
        <v>679</v>
      </c>
      <c r="B10" s="214" t="str">
        <f>MID(A10,14,4)</f>
        <v>5694</v>
      </c>
      <c r="C10" s="161" t="s">
        <v>1724</v>
      </c>
      <c r="D10" s="112">
        <v>487581</v>
      </c>
      <c r="E10" s="112">
        <v>487581</v>
      </c>
      <c r="H10" s="112">
        <v>518077</v>
      </c>
      <c r="I10" s="112">
        <v>518076.98</v>
      </c>
      <c r="J10" s="216">
        <v>6.2545505259638909E-2</v>
      </c>
      <c r="L10" s="112">
        <v>703842.47</v>
      </c>
      <c r="M10" s="112">
        <v>703842.47</v>
      </c>
      <c r="N10" s="216">
        <v>0.35856729791131431</v>
      </c>
      <c r="P10" s="112">
        <v>658250.67000000004</v>
      </c>
      <c r="Q10" s="112">
        <v>658250.67000000004</v>
      </c>
      <c r="R10" s="216">
        <v>-6.4775574000244585E-2</v>
      </c>
      <c r="T10" s="112">
        <v>800952.17</v>
      </c>
      <c r="U10" s="112">
        <v>800952.17</v>
      </c>
      <c r="V10" s="216">
        <v>0.21678899316577982</v>
      </c>
      <c r="W10" s="213"/>
      <c r="X10" s="112">
        <v>638360.4</v>
      </c>
      <c r="Y10" s="112">
        <v>638360.4</v>
      </c>
      <c r="Z10" s="216">
        <v>-0.20299810162197326</v>
      </c>
      <c r="AA10" s="213"/>
      <c r="AB10" s="112">
        <v>623833.09</v>
      </c>
      <c r="AC10" s="112">
        <v>623833.09</v>
      </c>
      <c r="AD10" s="216">
        <f>(AB10-X10)/X10</f>
        <v>-2.2757223035764836E-2</v>
      </c>
      <c r="AF10" s="112">
        <v>825586.23</v>
      </c>
      <c r="AG10" s="112">
        <v>825586.23</v>
      </c>
      <c r="AH10" s="112">
        <v>825586.23</v>
      </c>
      <c r="AI10" s="216">
        <f>(AG10-AB10)/AB10</f>
        <v>0.32340884642717499</v>
      </c>
      <c r="AJ10" s="80"/>
      <c r="AK10" s="112">
        <v>786838.4</v>
      </c>
      <c r="AL10" s="112">
        <v>590128.80000000005</v>
      </c>
      <c r="AM10" s="396">
        <f>(AK10-AG10)/AG10</f>
        <v>-4.6933716421118071E-2</v>
      </c>
      <c r="AO10" s="112">
        <v>894813.55</v>
      </c>
      <c r="AP10" s="104">
        <f>AO10-AK10</f>
        <v>107975.15000000002</v>
      </c>
      <c r="AQ10" s="396">
        <f>(AO10-AK10)/AK10</f>
        <v>0.13722658934795254</v>
      </c>
      <c r="AR10" s="167" t="s">
        <v>2163</v>
      </c>
    </row>
    <row r="11" spans="1:44" x14ac:dyDescent="0.25">
      <c r="A11" s="161" t="s">
        <v>680</v>
      </c>
      <c r="B11" s="214" t="str">
        <f>MID(A11,14,4)</f>
        <v>5695</v>
      </c>
      <c r="C11" s="161" t="s">
        <v>1725</v>
      </c>
      <c r="D11" s="112">
        <v>1896019.69</v>
      </c>
      <c r="E11" s="112">
        <v>1896019.69</v>
      </c>
      <c r="H11" s="112">
        <v>1885600</v>
      </c>
      <c r="I11" s="112">
        <v>1885599.25</v>
      </c>
      <c r="J11" s="216">
        <v>-5.4955600171008503E-3</v>
      </c>
      <c r="L11" s="112">
        <v>1994530.25</v>
      </c>
      <c r="M11" s="112">
        <v>1994530.25</v>
      </c>
      <c r="N11" s="216">
        <v>-5.4955600171008503E-3</v>
      </c>
      <c r="P11" s="112">
        <v>2326326.4500000002</v>
      </c>
      <c r="Q11" s="112">
        <v>2326326.4500000002</v>
      </c>
      <c r="R11" s="216">
        <v>-5.4955600171008503E-3</v>
      </c>
      <c r="T11" s="112">
        <v>2491357.38</v>
      </c>
      <c r="U11" s="112">
        <v>2491357.38</v>
      </c>
      <c r="V11" s="216">
        <v>-5.4955600171008503E-3</v>
      </c>
      <c r="W11" s="213"/>
      <c r="X11" s="112">
        <v>2451897.98</v>
      </c>
      <c r="Y11" s="112">
        <v>2382644.34</v>
      </c>
      <c r="Z11" s="216">
        <v>-5.4955600171008503E-3</v>
      </c>
      <c r="AA11" s="213"/>
      <c r="AB11" s="112">
        <v>2405089.9700000002</v>
      </c>
      <c r="AC11" s="112">
        <v>2405089.9700000002</v>
      </c>
      <c r="AD11" s="216">
        <v>-5.4955600171008503E-3</v>
      </c>
      <c r="AE11" s="146"/>
      <c r="AF11" s="218">
        <v>2477236.35</v>
      </c>
      <c r="AG11" s="218">
        <v>2477236.35</v>
      </c>
      <c r="AH11" s="112">
        <v>2477236.35</v>
      </c>
      <c r="AI11" s="216">
        <f>(AG11-AB11)/AB11</f>
        <v>2.9997372613881836E-2</v>
      </c>
      <c r="AJ11" s="80"/>
      <c r="AK11" s="112">
        <v>2633640.0699999998</v>
      </c>
      <c r="AL11" s="112">
        <v>1975230.05</v>
      </c>
      <c r="AM11" s="396">
        <v>-5.4955600171008503E-3</v>
      </c>
      <c r="AN11" s="146"/>
      <c r="AO11" s="112">
        <v>2356297.0499999998</v>
      </c>
      <c r="AP11" s="399">
        <f>AO11-AK11</f>
        <v>-277343.02</v>
      </c>
      <c r="AQ11" s="396">
        <f>(AO11-AK11)/AK11</f>
        <v>-0.10530786767684623</v>
      </c>
      <c r="AR11" s="324"/>
    </row>
    <row r="12" spans="1:44" s="114" customFormat="1" x14ac:dyDescent="0.25">
      <c r="A12" s="219"/>
      <c r="B12" s="219"/>
      <c r="C12" s="219" t="s">
        <v>279</v>
      </c>
      <c r="D12" s="220">
        <f>SUM(D10:D11)</f>
        <v>2383600.69</v>
      </c>
      <c r="E12" s="220">
        <f>SUM(E10:E11)</f>
        <v>2383600.69</v>
      </c>
      <c r="F12" s="221">
        <v>0.1321</v>
      </c>
      <c r="G12" s="219"/>
      <c r="H12" s="220">
        <f>SUM(H10:H11)</f>
        <v>2403677</v>
      </c>
      <c r="I12" s="220">
        <f>SUM(I10:I11)</f>
        <v>2403676.23</v>
      </c>
      <c r="J12" s="221">
        <f>(H12-D12)/D12</f>
        <v>8.4226817370152956E-3</v>
      </c>
      <c r="K12" s="219"/>
      <c r="L12" s="220">
        <f>SUM(L10:L11)</f>
        <v>2698372.7199999997</v>
      </c>
      <c r="M12" s="220">
        <f>SUM(M10:M11)</f>
        <v>2698372.7199999997</v>
      </c>
      <c r="N12" s="221">
        <f>(L12-H12)/H12</f>
        <v>0.12260204678082777</v>
      </c>
      <c r="O12" s="219"/>
      <c r="P12" s="220">
        <f>SUM(P10:P11)</f>
        <v>2984577.12</v>
      </c>
      <c r="Q12" s="220">
        <f>SUM(Q10:Q11)</f>
        <v>2984577.12</v>
      </c>
      <c r="R12" s="221">
        <f>(P12-L12)/L12</f>
        <v>0.1060655549467608</v>
      </c>
      <c r="S12" s="219"/>
      <c r="T12" s="220">
        <f>SUM(T10:T11)</f>
        <v>3292309.55</v>
      </c>
      <c r="U12" s="220">
        <f>SUM(U10:U11)</f>
        <v>3292309.55</v>
      </c>
      <c r="V12" s="221">
        <f>(T12-P12)/P12</f>
        <v>0.10310754844894063</v>
      </c>
      <c r="W12" s="219"/>
      <c r="X12" s="220">
        <f>SUM(X10:X11)</f>
        <v>3090258.38</v>
      </c>
      <c r="Y12" s="220">
        <f>SUM(Y10:Y11)</f>
        <v>3021004.7399999998</v>
      </c>
      <c r="Z12" s="221">
        <f>(X12-T12)/T12</f>
        <v>-6.137064784810406E-2</v>
      </c>
      <c r="AA12" s="219"/>
      <c r="AB12" s="220">
        <f>SUM(AB10:AB11)</f>
        <v>3028923.06</v>
      </c>
      <c r="AC12" s="220">
        <f>SUM(AC10:AC11)</f>
        <v>3028923.06</v>
      </c>
      <c r="AD12" s="221">
        <f>(AB12-X12)/X12</f>
        <v>-1.9847958473944768E-2</v>
      </c>
      <c r="AE12" s="219"/>
      <c r="AF12" s="220">
        <f>SUM(AF10:AF11)</f>
        <v>3302822.58</v>
      </c>
      <c r="AG12" s="220">
        <f>SUM(AG10:AG11)</f>
        <v>3302822.58</v>
      </c>
      <c r="AH12" s="220">
        <f>SUM(AH10:AH11)</f>
        <v>3302822.58</v>
      </c>
      <c r="AI12" s="221">
        <f>(AG12-X12)/X12</f>
        <v>6.8785251542623493E-2</v>
      </c>
      <c r="AJ12" s="221"/>
      <c r="AK12" s="401">
        <f>SUM(AK10:AK11)</f>
        <v>3420478.4699999997</v>
      </c>
      <c r="AL12" s="401">
        <f>SUM(AL10:AL11)</f>
        <v>2565358.85</v>
      </c>
      <c r="AM12" s="221">
        <f>(AK12-AG12)/AG12</f>
        <v>3.5622830821266716E-2</v>
      </c>
      <c r="AN12" s="219"/>
      <c r="AO12" s="223">
        <f>SUM(AO10:AO11)</f>
        <v>3251110.5999999996</v>
      </c>
      <c r="AP12" s="220">
        <f>AO12-AK12</f>
        <v>-169367.87000000011</v>
      </c>
      <c r="AQ12" s="221">
        <f>(AO12-AK12)/AK12</f>
        <v>-4.9515841565873131E-2</v>
      </c>
      <c r="AR12" s="219"/>
    </row>
    <row r="13" spans="1:44" s="211" customFormat="1" x14ac:dyDescent="0.25">
      <c r="D13" s="112"/>
      <c r="E13" s="112"/>
      <c r="F13" s="216"/>
      <c r="G13" s="213"/>
      <c r="H13" s="112"/>
      <c r="I13" s="112"/>
      <c r="J13" s="216"/>
      <c r="K13" s="213"/>
      <c r="L13" s="112"/>
      <c r="M13" s="112"/>
      <c r="N13" s="216"/>
      <c r="O13" s="213"/>
      <c r="P13" s="112"/>
      <c r="Q13" s="112"/>
      <c r="R13" s="216"/>
      <c r="S13" s="213"/>
      <c r="T13" s="112"/>
      <c r="U13" s="112"/>
      <c r="V13" s="216"/>
      <c r="W13" s="213"/>
      <c r="X13" s="112"/>
      <c r="Y13" s="112"/>
      <c r="Z13" s="216"/>
      <c r="AA13" s="213"/>
      <c r="AB13" s="112"/>
      <c r="AC13" s="112"/>
      <c r="AD13" s="216"/>
      <c r="AE13" s="213"/>
      <c r="AF13" s="112"/>
      <c r="AG13" s="112"/>
      <c r="AH13" s="112"/>
      <c r="AI13" s="216"/>
      <c r="AJ13" s="216"/>
      <c r="AK13" s="112"/>
      <c r="AL13" s="112"/>
      <c r="AM13" s="396"/>
      <c r="AN13" s="397"/>
      <c r="AO13" s="212"/>
      <c r="AP13" s="212"/>
      <c r="AQ13" s="396"/>
      <c r="AR13" s="394"/>
    </row>
    <row r="14" spans="1:44" s="114" customFormat="1" ht="12.75" x14ac:dyDescent="0.2">
      <c r="A14" s="228"/>
      <c r="B14" s="228"/>
      <c r="C14" s="233" t="s">
        <v>280</v>
      </c>
      <c r="D14" s="230">
        <f>D7+D12</f>
        <v>2383600.69</v>
      </c>
      <c r="E14" s="230">
        <f>E7+E12</f>
        <v>2383600.69</v>
      </c>
      <c r="F14" s="231">
        <v>0.1321</v>
      </c>
      <c r="G14" s="228"/>
      <c r="H14" s="230">
        <f>H7+H12</f>
        <v>2403677</v>
      </c>
      <c r="I14" s="230">
        <f>I7+I12</f>
        <v>2403676.23</v>
      </c>
      <c r="J14" s="231">
        <f>(H14-D14)/D14</f>
        <v>8.4226817370152956E-3</v>
      </c>
      <c r="K14" s="228"/>
      <c r="L14" s="230">
        <f>L7+L12</f>
        <v>2698372.7199999997</v>
      </c>
      <c r="M14" s="230">
        <f>M7+M12</f>
        <v>2698372.7199999997</v>
      </c>
      <c r="N14" s="231">
        <f>(L14-H14)/H14</f>
        <v>0.12260204678082777</v>
      </c>
      <c r="O14" s="228"/>
      <c r="P14" s="230">
        <f>P7+P12</f>
        <v>2984577.12</v>
      </c>
      <c r="Q14" s="230">
        <f>Q7+Q12</f>
        <v>2984577.12</v>
      </c>
      <c r="R14" s="231">
        <f>(P14-L14)/L14</f>
        <v>0.1060655549467608</v>
      </c>
      <c r="S14" s="228"/>
      <c r="T14" s="230">
        <f>T7+T12</f>
        <v>3292309.55</v>
      </c>
      <c r="U14" s="230">
        <f>U7+U12</f>
        <v>3292309.55</v>
      </c>
      <c r="V14" s="231">
        <f>(T14-P14)/P14</f>
        <v>0.10310754844894063</v>
      </c>
      <c r="W14" s="228"/>
      <c r="X14" s="230">
        <f>X7+X12</f>
        <v>3090258.38</v>
      </c>
      <c r="Y14" s="230">
        <f>Y7+Y12</f>
        <v>3021004.7399999998</v>
      </c>
      <c r="Z14" s="231">
        <f>(X14-T14)/T14</f>
        <v>-6.137064784810406E-2</v>
      </c>
      <c r="AA14" s="228"/>
      <c r="AB14" s="230">
        <f>AB7+AB12</f>
        <v>3028923.06</v>
      </c>
      <c r="AC14" s="230">
        <f>AC7+AC12</f>
        <v>3028923.06</v>
      </c>
      <c r="AD14" s="231">
        <f>(AB14-X14)/X14</f>
        <v>-1.9847958473944768E-2</v>
      </c>
      <c r="AE14" s="228"/>
      <c r="AF14" s="230">
        <f>AF7+AF12</f>
        <v>3302822.58</v>
      </c>
      <c r="AG14" s="230">
        <f>AG7+AG12</f>
        <v>3302822.58</v>
      </c>
      <c r="AH14" s="230">
        <f>AH7+AH12</f>
        <v>3302822.58</v>
      </c>
      <c r="AI14" s="231">
        <f>(AG14-AB14)/AB14</f>
        <v>9.0428021634857914E-2</v>
      </c>
      <c r="AJ14" s="231"/>
      <c r="AK14" s="402">
        <f>AK7+AK12</f>
        <v>3420478.4699999997</v>
      </c>
      <c r="AL14" s="402">
        <f>AL7+AL12</f>
        <v>2565358.85</v>
      </c>
      <c r="AM14" s="231">
        <f>(AK14-AG14)/AG14</f>
        <v>3.5622830821266716E-2</v>
      </c>
      <c r="AN14" s="228"/>
      <c r="AO14" s="232">
        <f>AO7+AO12</f>
        <v>3251110.5999999996</v>
      </c>
      <c r="AP14" s="230">
        <f>AO14-AK14</f>
        <v>-169367.87000000011</v>
      </c>
      <c r="AQ14" s="231">
        <f>(AO14-AK14)/AK14</f>
        <v>-4.9515841565873131E-2</v>
      </c>
      <c r="AR14" s="233"/>
    </row>
    <row r="15" spans="1:44" x14ac:dyDescent="0.25">
      <c r="D15" s="120"/>
      <c r="H15" s="120"/>
      <c r="L15" s="120"/>
      <c r="P15" s="120"/>
      <c r="T15" s="120"/>
      <c r="X15" s="120"/>
      <c r="AB15" s="120"/>
      <c r="AF15" s="120"/>
      <c r="AG15" s="120"/>
      <c r="AK15" s="403"/>
      <c r="AP15" s="161"/>
    </row>
    <row r="16" spans="1:44" s="111" customFormat="1" thickBot="1" x14ac:dyDescent="0.25">
      <c r="C16" s="111" t="s">
        <v>281</v>
      </c>
      <c r="D16" s="122"/>
      <c r="E16" s="121">
        <f>D14-E14</f>
        <v>0</v>
      </c>
      <c r="G16" s="118"/>
      <c r="H16" s="122"/>
      <c r="I16" s="121">
        <f>H14-I14</f>
        <v>0.77000000001862645</v>
      </c>
      <c r="K16" s="118"/>
      <c r="L16" s="122"/>
      <c r="M16" s="121">
        <f>L14-M14</f>
        <v>0</v>
      </c>
      <c r="O16" s="118"/>
      <c r="P16" s="122"/>
      <c r="Q16" s="121">
        <f>P14-Q14</f>
        <v>0</v>
      </c>
      <c r="S16" s="118"/>
      <c r="T16" s="122"/>
      <c r="U16" s="121">
        <f>T14-U14</f>
        <v>0</v>
      </c>
      <c r="W16" s="118"/>
      <c r="X16" s="122"/>
      <c r="Y16" s="121">
        <f>X14-Y14</f>
        <v>69253.64000000013</v>
      </c>
      <c r="AA16" s="118"/>
      <c r="AB16" s="122"/>
      <c r="AC16" s="121">
        <f>AB14-AC14</f>
        <v>0</v>
      </c>
      <c r="AE16" s="118"/>
      <c r="AF16" s="122"/>
      <c r="AG16" s="122"/>
      <c r="AH16" s="121">
        <f>AG14-AH14</f>
        <v>0</v>
      </c>
      <c r="AK16" s="122"/>
      <c r="AL16" s="121">
        <f>AK14-AL14</f>
        <v>855119.61999999965</v>
      </c>
      <c r="AN16" s="118"/>
      <c r="AO16" s="123"/>
      <c r="AP16" s="123"/>
    </row>
    <row r="17" spans="1:43" ht="14.25" thickTop="1" x14ac:dyDescent="0.25">
      <c r="D17" s="120"/>
      <c r="H17" s="120"/>
      <c r="L17" s="120"/>
      <c r="P17" s="120"/>
      <c r="T17" s="120"/>
      <c r="X17" s="120"/>
      <c r="AB17" s="120"/>
      <c r="AF17" s="120"/>
      <c r="AG17" s="120"/>
      <c r="AK17" s="403"/>
    </row>
    <row r="18" spans="1:43" x14ac:dyDescent="0.25">
      <c r="D18" s="120"/>
      <c r="H18" s="120"/>
      <c r="L18" s="120"/>
      <c r="P18" s="120"/>
      <c r="T18" s="120"/>
      <c r="X18" s="120"/>
      <c r="AB18" s="120"/>
      <c r="AF18" s="120"/>
      <c r="AG18" s="120"/>
      <c r="AK18" s="403"/>
    </row>
    <row r="19" spans="1:43" ht="14.25" x14ac:dyDescent="0.3">
      <c r="D19" s="120"/>
      <c r="H19" s="120"/>
      <c r="L19" s="120"/>
      <c r="P19" s="120"/>
      <c r="T19" s="120"/>
      <c r="X19" s="120"/>
      <c r="AB19" s="315" t="s">
        <v>1223</v>
      </c>
      <c r="AC19" s="315"/>
      <c r="AD19" s="101"/>
      <c r="AE19" s="101"/>
      <c r="AN19" s="394"/>
    </row>
    <row r="20" spans="1:43" ht="14.25" x14ac:dyDescent="0.3">
      <c r="D20" s="120"/>
      <c r="H20" s="120"/>
      <c r="L20" s="120"/>
      <c r="P20" s="120"/>
      <c r="T20" s="120"/>
      <c r="X20" s="120"/>
      <c r="AB20" s="315" t="s">
        <v>1225</v>
      </c>
      <c r="AC20" s="315"/>
      <c r="AD20" s="101"/>
      <c r="AE20" s="101"/>
      <c r="AN20" s="394"/>
      <c r="AQ20" s="397"/>
    </row>
    <row r="21" spans="1:43" ht="14.25" x14ac:dyDescent="0.3">
      <c r="D21" s="120"/>
      <c r="H21" s="120"/>
      <c r="L21" s="120"/>
      <c r="P21" s="120"/>
      <c r="T21" s="120"/>
      <c r="X21" s="120"/>
      <c r="AB21" s="315" t="s">
        <v>1224</v>
      </c>
      <c r="AC21" s="315"/>
      <c r="AD21" s="211"/>
      <c r="AE21" s="211"/>
      <c r="AN21" s="394"/>
    </row>
    <row r="22" spans="1:43" x14ac:dyDescent="0.25">
      <c r="A22" s="211" t="s">
        <v>680</v>
      </c>
      <c r="D22" s="120"/>
      <c r="H22" s="120"/>
      <c r="L22" s="120"/>
      <c r="P22" s="120"/>
      <c r="T22" s="120"/>
      <c r="X22" s="120"/>
      <c r="AB22" s="293">
        <v>2382644.34</v>
      </c>
      <c r="AC22" s="293"/>
      <c r="AD22" s="112"/>
      <c r="AE22" s="216"/>
      <c r="AJ22" s="216"/>
      <c r="AN22" s="394"/>
      <c r="AO22" s="112"/>
      <c r="AP22" s="212"/>
      <c r="AQ22" s="4"/>
    </row>
    <row r="23" spans="1:43" x14ac:dyDescent="0.25">
      <c r="D23" s="120"/>
      <c r="H23" s="120"/>
      <c r="L23" s="120"/>
      <c r="P23" s="120"/>
      <c r="T23" s="120"/>
      <c r="X23" s="120"/>
      <c r="AB23" s="120"/>
      <c r="AF23" s="120"/>
      <c r="AG23" s="120"/>
      <c r="AN23" s="394"/>
    </row>
    <row r="24" spans="1:43" x14ac:dyDescent="0.25">
      <c r="D24" s="120"/>
      <c r="H24" s="120"/>
      <c r="L24" s="120"/>
      <c r="P24" s="120"/>
      <c r="T24" s="120"/>
      <c r="X24" s="120"/>
      <c r="AB24" s="120"/>
      <c r="AF24" s="120"/>
      <c r="AG24" s="120"/>
      <c r="AN24" s="394"/>
    </row>
    <row r="25" spans="1:43" x14ac:dyDescent="0.25">
      <c r="D25" s="120"/>
      <c r="H25" s="120"/>
      <c r="L25" s="120"/>
      <c r="P25" s="120"/>
      <c r="T25" s="120"/>
      <c r="X25" s="120"/>
      <c r="AB25" s="120"/>
      <c r="AF25" s="120"/>
      <c r="AG25" s="120"/>
      <c r="AN25" s="394"/>
    </row>
    <row r="26" spans="1:43" x14ac:dyDescent="0.25">
      <c r="D26" s="120"/>
      <c r="H26" s="120"/>
      <c r="L26" s="120"/>
      <c r="P26" s="120"/>
      <c r="T26" s="120"/>
      <c r="X26" s="120"/>
      <c r="AB26" s="120"/>
      <c r="AF26" s="120"/>
      <c r="AG26" s="120"/>
      <c r="AK26" s="403"/>
    </row>
    <row r="27" spans="1:43" x14ac:dyDescent="0.25">
      <c r="D27" s="120"/>
      <c r="H27" s="120"/>
      <c r="L27" s="120"/>
      <c r="P27" s="120"/>
      <c r="T27" s="120"/>
      <c r="X27" s="120"/>
      <c r="AB27" s="120"/>
      <c r="AF27" s="120"/>
      <c r="AG27" s="120"/>
      <c r="AK27" s="403"/>
    </row>
    <row r="28" spans="1:43" x14ac:dyDescent="0.25">
      <c r="D28" s="120"/>
      <c r="H28" s="120"/>
      <c r="L28" s="120"/>
      <c r="P28" s="120"/>
      <c r="T28" s="120"/>
      <c r="X28" s="120"/>
      <c r="AB28" s="120"/>
      <c r="AF28" s="120"/>
      <c r="AG28" s="120"/>
      <c r="AK28" s="403"/>
    </row>
    <row r="29" spans="1:43" x14ac:dyDescent="0.25">
      <c r="D29" s="120"/>
      <c r="H29" s="120"/>
      <c r="L29" s="120"/>
      <c r="P29" s="120"/>
      <c r="T29" s="120"/>
      <c r="X29" s="120"/>
      <c r="AB29" s="120"/>
      <c r="AF29" s="120"/>
      <c r="AG29" s="120"/>
      <c r="AK29" s="403"/>
    </row>
    <row r="30" spans="1:43" x14ac:dyDescent="0.25">
      <c r="D30" s="120"/>
      <c r="H30" s="120"/>
      <c r="L30" s="120"/>
      <c r="P30" s="120"/>
      <c r="T30" s="120"/>
      <c r="X30" s="120"/>
      <c r="AB30" s="120"/>
      <c r="AF30" s="120"/>
      <c r="AG30" s="120"/>
      <c r="AK30" s="403"/>
    </row>
    <row r="31" spans="1:43" x14ac:dyDescent="0.25">
      <c r="D31" s="120"/>
      <c r="H31" s="120"/>
      <c r="L31" s="120"/>
      <c r="P31" s="120"/>
      <c r="T31" s="120"/>
      <c r="X31" s="120"/>
      <c r="AB31" s="120"/>
      <c r="AF31" s="120"/>
      <c r="AG31" s="120"/>
      <c r="AK31" s="403"/>
    </row>
    <row r="32" spans="1:43" x14ac:dyDescent="0.25">
      <c r="D32" s="120"/>
      <c r="H32" s="120"/>
      <c r="L32" s="120"/>
      <c r="P32" s="120"/>
      <c r="T32" s="120"/>
      <c r="X32" s="120"/>
      <c r="AB32" s="120"/>
      <c r="AF32" s="120"/>
      <c r="AG32" s="120"/>
      <c r="AK32" s="403"/>
    </row>
    <row r="33" spans="4:37" x14ac:dyDescent="0.25">
      <c r="D33" s="120"/>
      <c r="H33" s="120"/>
      <c r="L33" s="120"/>
      <c r="P33" s="120"/>
      <c r="T33" s="120"/>
      <c r="X33" s="120"/>
      <c r="AB33" s="120"/>
      <c r="AF33" s="120"/>
      <c r="AG33" s="120"/>
      <c r="AK33" s="403"/>
    </row>
    <row r="34" spans="4:37" x14ac:dyDescent="0.25">
      <c r="D34" s="120"/>
      <c r="H34" s="120"/>
      <c r="L34" s="120"/>
      <c r="P34" s="120"/>
      <c r="T34" s="120"/>
      <c r="X34" s="120"/>
      <c r="AB34" s="120"/>
      <c r="AF34" s="120"/>
      <c r="AG34" s="120"/>
      <c r="AK34" s="403"/>
    </row>
    <row r="35" spans="4:37" x14ac:dyDescent="0.25">
      <c r="D35" s="120"/>
      <c r="H35" s="120"/>
      <c r="L35" s="120"/>
      <c r="P35" s="120"/>
      <c r="T35" s="120"/>
      <c r="X35" s="120"/>
      <c r="AB35" s="120"/>
      <c r="AF35" s="120"/>
      <c r="AG35" s="120"/>
      <c r="AK35" s="403"/>
    </row>
    <row r="36" spans="4:37" x14ac:dyDescent="0.25">
      <c r="D36" s="120"/>
      <c r="H36" s="120"/>
      <c r="L36" s="120"/>
      <c r="P36" s="120"/>
      <c r="T36" s="120"/>
      <c r="X36" s="120"/>
      <c r="AB36" s="120"/>
      <c r="AF36" s="120"/>
      <c r="AG36" s="120"/>
      <c r="AK36" s="403"/>
    </row>
    <row r="37" spans="4:37" x14ac:dyDescent="0.25">
      <c r="D37" s="120"/>
      <c r="H37" s="120"/>
      <c r="L37" s="120"/>
      <c r="P37" s="120"/>
      <c r="T37" s="12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0" orientation="landscape" r:id="rId1"/>
  <headerFooter alignWithMargins="0">
    <oddHeader>&amp;C&amp;"-,Bold"Proposed Budget &amp; Analysis Report for FY20</oddHeader>
    <oddFooter>&amp;C&amp;D&amp;T&amp;R&amp;A</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3:BA397"/>
  <sheetViews>
    <sheetView zoomScaleNormal="100" zoomScaleSheetLayoutView="100" workbookViewId="0">
      <selection activeCell="C15" sqref="C15"/>
    </sheetView>
  </sheetViews>
  <sheetFormatPr defaultRowHeight="13.5" x14ac:dyDescent="0.25"/>
  <cols>
    <col min="1" max="1" width="22.5703125" style="161" customWidth="1"/>
    <col min="2" max="2" width="5" style="161" customWidth="1"/>
    <col min="3" max="3" width="32" style="161" customWidth="1"/>
    <col min="4" max="4" width="13.28515625" style="211" hidden="1" customWidth="1"/>
    <col min="5" max="5" width="11.42578125" style="211" hidden="1" customWidth="1"/>
    <col min="6" max="6" width="8.28515625" style="211" hidden="1" customWidth="1"/>
    <col min="7" max="7" width="1.42578125" style="213" hidden="1" customWidth="1"/>
    <col min="8" max="8" width="13.28515625" style="211" hidden="1" customWidth="1"/>
    <col min="9" max="9" width="11.42578125" style="211" hidden="1" customWidth="1"/>
    <col min="10" max="10" width="8.28515625" style="211" hidden="1" customWidth="1"/>
    <col min="11" max="11" width="1.42578125" style="213" hidden="1" customWidth="1"/>
    <col min="12" max="12" width="13.28515625" style="211" hidden="1" customWidth="1"/>
    <col min="13" max="13" width="11.42578125" style="211" hidden="1" customWidth="1"/>
    <col min="14" max="14" width="8.28515625" style="211" hidden="1" customWidth="1"/>
    <col min="15" max="15" width="1.42578125" style="213" hidden="1" customWidth="1"/>
    <col min="16" max="16" width="13.28515625" style="211" hidden="1" customWidth="1"/>
    <col min="17" max="17" width="11.42578125" style="211" hidden="1" customWidth="1"/>
    <col min="18" max="18" width="8.28515625" style="211" hidden="1" customWidth="1"/>
    <col min="19" max="19" width="1.42578125" style="213" hidden="1" customWidth="1"/>
    <col min="20" max="20" width="13.28515625" style="161" hidden="1" customWidth="1"/>
    <col min="21" max="21" width="11.42578125" style="161" hidden="1" customWidth="1"/>
    <col min="22" max="22" width="8.28515625" style="161" hidden="1" customWidth="1"/>
    <col min="23" max="23" width="1.42578125" style="103" hidden="1" customWidth="1"/>
    <col min="24" max="25" width="11.5703125" style="161" hidden="1" customWidth="1"/>
    <col min="26" max="26" width="8" style="161" hidden="1" customWidth="1"/>
    <col min="27" max="27" width="1.42578125" style="103" hidden="1" customWidth="1"/>
    <col min="28" max="29" width="11.5703125" style="161" customWidth="1"/>
    <col min="30" max="30" width="8" style="161" bestFit="1" customWidth="1"/>
    <col min="31" max="31" width="1.42578125" style="213"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8.5703125" style="58" bestFit="1" customWidth="1"/>
    <col min="40" max="40" width="1.42578125" style="397" customWidth="1"/>
    <col min="41" max="41" width="13.5703125" style="104" customWidth="1"/>
    <col min="42" max="42" width="12.28515625" style="104" bestFit="1" customWidth="1"/>
    <col min="43" max="43" width="11.5703125" style="161" bestFit="1" customWidth="1"/>
    <col min="44" max="44" width="35.140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1975</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684</v>
      </c>
      <c r="B6" s="119" t="str">
        <f>MID(A6,14,4)</f>
        <v>5135</v>
      </c>
      <c r="C6" s="161" t="s">
        <v>1836</v>
      </c>
      <c r="D6" s="245">
        <v>50959.39</v>
      </c>
      <c r="E6" s="245">
        <v>55276.1</v>
      </c>
      <c r="F6" s="216"/>
      <c r="H6" s="245">
        <v>52085</v>
      </c>
      <c r="I6" s="245">
        <v>53964.35</v>
      </c>
      <c r="J6" s="216"/>
      <c r="L6" s="245">
        <v>53651.16</v>
      </c>
      <c r="M6" s="245">
        <v>52863.19</v>
      </c>
      <c r="N6" s="216"/>
      <c r="P6" s="245">
        <v>54935.28</v>
      </c>
      <c r="Q6" s="245">
        <v>56605.97</v>
      </c>
      <c r="R6" s="216"/>
      <c r="T6" s="162">
        <v>55765.26</v>
      </c>
      <c r="U6" s="162">
        <v>50049.9</v>
      </c>
      <c r="V6" s="80"/>
      <c r="X6" s="162">
        <v>56700.59</v>
      </c>
      <c r="Y6" s="162">
        <v>58803.18</v>
      </c>
      <c r="Z6" s="80">
        <v>1.6772628693921529E-2</v>
      </c>
      <c r="AB6" s="162">
        <v>57049.38</v>
      </c>
      <c r="AC6" s="162">
        <v>62422.87</v>
      </c>
      <c r="AD6" s="80">
        <f>(AB6-X6)/X6</f>
        <v>6.1514351085235775E-3</v>
      </c>
      <c r="AF6" s="163">
        <v>57613.14</v>
      </c>
      <c r="AG6" s="380">
        <v>62790.65</v>
      </c>
      <c r="AH6" s="245">
        <v>67350.42</v>
      </c>
      <c r="AI6" s="216">
        <f>(AG6-AB6)/AB6</f>
        <v>0.1006368517940073</v>
      </c>
      <c r="AJ6" s="80"/>
      <c r="AK6" s="398">
        <v>64926.36</v>
      </c>
      <c r="AL6" s="398">
        <v>35738.53</v>
      </c>
      <c r="AM6" s="207">
        <f>(AK6-AG6)/AG6</f>
        <v>3.4013185084084956E-2</v>
      </c>
      <c r="AO6" s="163">
        <f>'FY20 Payroll Schedule'!J97</f>
        <v>91558.8</v>
      </c>
      <c r="AP6" s="245">
        <f>AO6-AK6</f>
        <v>26632.440000000002</v>
      </c>
      <c r="AQ6" s="207">
        <f>(AO6-AK6)/AK6</f>
        <v>0.41019456504261137</v>
      </c>
      <c r="AR6" s="524" t="s">
        <v>2030</v>
      </c>
    </row>
    <row r="7" spans="1:44" x14ac:dyDescent="0.25">
      <c r="A7" s="161" t="s">
        <v>685</v>
      </c>
      <c r="B7" s="119" t="str">
        <f>MID(A7,14,4)</f>
        <v>5142</v>
      </c>
      <c r="C7" s="161" t="s">
        <v>1455</v>
      </c>
      <c r="D7" s="245">
        <v>508</v>
      </c>
      <c r="E7" s="245">
        <v>508</v>
      </c>
      <c r="F7" s="216"/>
      <c r="H7" s="245">
        <v>521</v>
      </c>
      <c r="I7" s="245">
        <v>521</v>
      </c>
      <c r="J7" s="216"/>
      <c r="L7" s="245">
        <v>536.51</v>
      </c>
      <c r="M7" s="245">
        <v>536.51</v>
      </c>
      <c r="N7" s="216"/>
      <c r="P7" s="245">
        <v>549.35</v>
      </c>
      <c r="Q7" s="245">
        <v>549.35</v>
      </c>
      <c r="R7" s="216"/>
      <c r="T7" s="245">
        <v>1115.31</v>
      </c>
      <c r="U7" s="245">
        <v>1115.31</v>
      </c>
      <c r="V7" s="216"/>
      <c r="W7" s="213"/>
      <c r="X7" s="245">
        <v>1134.01</v>
      </c>
      <c r="Y7" s="245">
        <v>1134.01</v>
      </c>
      <c r="Z7" s="216">
        <v>1.6766638871703873E-2</v>
      </c>
      <c r="AA7" s="213"/>
      <c r="AB7" s="245">
        <v>1140.99</v>
      </c>
      <c r="AC7" s="245">
        <v>1141.01</v>
      </c>
      <c r="AD7" s="216">
        <f>(AB7-X7)/X7</f>
        <v>6.1551485436636523E-3</v>
      </c>
      <c r="AF7" s="163">
        <v>1152.26</v>
      </c>
      <c r="AG7" s="380">
        <v>1231.19</v>
      </c>
      <c r="AH7" s="245">
        <v>1231.19</v>
      </c>
      <c r="AI7" s="216">
        <f t="shared" ref="AI7:AI44" si="0">(AG7-AB7)/AB7</f>
        <v>7.9054154725282474E-2</v>
      </c>
      <c r="AJ7" s="80"/>
      <c r="AK7" s="398">
        <v>1298.53</v>
      </c>
      <c r="AL7" s="398">
        <v>0</v>
      </c>
      <c r="AM7" s="207">
        <f>(AK7-AG7)/AG7</f>
        <v>5.4695051129395073E-2</v>
      </c>
      <c r="AO7" s="163">
        <f>'FY20 Payroll Schedule'!K97</f>
        <v>2746.7640000000001</v>
      </c>
      <c r="AP7" s="398">
        <f>AO7-AK7</f>
        <v>1448.2340000000002</v>
      </c>
      <c r="AQ7" s="207">
        <f>(AO7-AK7)/AK7</f>
        <v>1.1152872863930754</v>
      </c>
      <c r="AR7" s="400" t="s">
        <v>1848</v>
      </c>
    </row>
    <row r="8" spans="1:44" ht="15" x14ac:dyDescent="0.25">
      <c r="A8" s="161" t="s">
        <v>683</v>
      </c>
      <c r="B8" s="119" t="str">
        <f>MID(A8,14,4)</f>
        <v>5120</v>
      </c>
      <c r="C8" s="161" t="s">
        <v>1752</v>
      </c>
      <c r="D8" s="245">
        <v>11000</v>
      </c>
      <c r="E8" s="245">
        <v>6683.29</v>
      </c>
      <c r="F8" s="216"/>
      <c r="H8" s="245">
        <v>11000</v>
      </c>
      <c r="I8" s="245">
        <v>12418.86</v>
      </c>
      <c r="J8" s="216"/>
      <c r="L8" s="245">
        <v>13000</v>
      </c>
      <c r="M8" s="245">
        <v>12749.56</v>
      </c>
      <c r="N8" s="216"/>
      <c r="P8" s="245">
        <v>13000</v>
      </c>
      <c r="Q8" s="245">
        <v>14220.87</v>
      </c>
      <c r="R8" s="216"/>
      <c r="T8" s="245">
        <v>13000</v>
      </c>
      <c r="U8" s="245">
        <v>13336.45</v>
      </c>
      <c r="V8" s="216"/>
      <c r="W8" s="213"/>
      <c r="X8" s="245">
        <v>13000</v>
      </c>
      <c r="Y8" s="245">
        <v>10954.16</v>
      </c>
      <c r="Z8" s="216">
        <v>0</v>
      </c>
      <c r="AA8" s="213"/>
      <c r="AB8" s="245">
        <v>13000</v>
      </c>
      <c r="AC8" s="245">
        <v>13430.19</v>
      </c>
      <c r="AD8" s="216">
        <f>(AB8-X8)/X8</f>
        <v>0</v>
      </c>
      <c r="AF8" s="163">
        <v>30000</v>
      </c>
      <c r="AG8" s="380">
        <v>30000</v>
      </c>
      <c r="AH8" s="245">
        <v>12215.18</v>
      </c>
      <c r="AI8" s="216">
        <f t="shared" si="0"/>
        <v>1.3076923076923077</v>
      </c>
      <c r="AJ8" s="80"/>
      <c r="AK8" s="398">
        <v>30000</v>
      </c>
      <c r="AL8" s="398">
        <v>16436.8</v>
      </c>
      <c r="AM8" s="207">
        <f>(AK8-AG8)/AG8</f>
        <v>0</v>
      </c>
      <c r="AO8" s="408">
        <f>'FY20 Payroll Schedule'!J98</f>
        <v>30000</v>
      </c>
      <c r="AP8" s="398">
        <f>AO8-AK8</f>
        <v>0</v>
      </c>
      <c r="AQ8" s="207">
        <f>(AO8-AK8)/AK8</f>
        <v>0</v>
      </c>
      <c r="AR8" s="456" t="s">
        <v>1849</v>
      </c>
    </row>
    <row r="9" spans="1:44" x14ac:dyDescent="0.25">
      <c r="A9" s="161" t="s">
        <v>681</v>
      </c>
      <c r="B9" s="119" t="str">
        <f>MID(A9,14,4)</f>
        <v>5101</v>
      </c>
      <c r="C9" s="161" t="s">
        <v>1340</v>
      </c>
      <c r="D9" s="245">
        <v>50</v>
      </c>
      <c r="E9" s="245">
        <v>50</v>
      </c>
      <c r="F9" s="216"/>
      <c r="H9" s="245">
        <v>50</v>
      </c>
      <c r="I9" s="245">
        <v>50</v>
      </c>
      <c r="J9" s="216"/>
      <c r="L9" s="245">
        <v>50</v>
      </c>
      <c r="M9" s="245">
        <v>50</v>
      </c>
      <c r="N9" s="216"/>
      <c r="P9" s="245">
        <v>50</v>
      </c>
      <c r="Q9" s="245">
        <v>50</v>
      </c>
      <c r="R9" s="216"/>
      <c r="T9" s="245">
        <v>50</v>
      </c>
      <c r="U9" s="245">
        <v>50</v>
      </c>
      <c r="V9" s="216"/>
      <c r="W9" s="213"/>
      <c r="X9" s="245">
        <v>50</v>
      </c>
      <c r="Y9" s="245">
        <v>50</v>
      </c>
      <c r="Z9" s="216">
        <v>0</v>
      </c>
      <c r="AA9" s="213"/>
      <c r="AB9" s="245">
        <v>50</v>
      </c>
      <c r="AC9" s="245">
        <v>50</v>
      </c>
      <c r="AD9" s="216">
        <f>(AB9-X9)/X9</f>
        <v>0</v>
      </c>
      <c r="AF9" s="163">
        <v>50</v>
      </c>
      <c r="AG9" s="380">
        <v>50</v>
      </c>
      <c r="AH9" s="245">
        <v>50</v>
      </c>
      <c r="AI9" s="216">
        <f t="shared" si="0"/>
        <v>0</v>
      </c>
      <c r="AJ9" s="80"/>
      <c r="AK9" s="398">
        <v>50</v>
      </c>
      <c r="AL9" s="398">
        <v>0</v>
      </c>
      <c r="AM9" s="207">
        <f>(AK9-AG9)/AG9</f>
        <v>0</v>
      </c>
      <c r="AO9" s="408">
        <v>50</v>
      </c>
      <c r="AP9" s="398">
        <f>AO9-AK9</f>
        <v>0</v>
      </c>
      <c r="AQ9" s="207">
        <f>(AO9-AK9)/AK9</f>
        <v>0</v>
      </c>
      <c r="AR9" s="166" t="s">
        <v>682</v>
      </c>
    </row>
    <row r="10" spans="1:44" s="114" customFormat="1" x14ac:dyDescent="0.25">
      <c r="A10" s="224"/>
      <c r="B10" s="224"/>
      <c r="C10" s="224" t="s">
        <v>26</v>
      </c>
      <c r="D10" s="225">
        <f>SUM(D6:D9)</f>
        <v>62517.39</v>
      </c>
      <c r="E10" s="225">
        <f>SUM(E6:E9)</f>
        <v>62517.39</v>
      </c>
      <c r="F10" s="226">
        <v>5.6300000000000003E-2</v>
      </c>
      <c r="G10" s="224"/>
      <c r="H10" s="225">
        <f>SUM(H6:H9)</f>
        <v>63656</v>
      </c>
      <c r="I10" s="225">
        <f>SUM(I6:I9)</f>
        <v>66954.209999999992</v>
      </c>
      <c r="J10" s="226">
        <v>5.6300000000000003E-2</v>
      </c>
      <c r="K10" s="224"/>
      <c r="L10" s="225">
        <f>SUM(L6:L9)</f>
        <v>67237.670000000013</v>
      </c>
      <c r="M10" s="225">
        <f>SUM(M6:M9)</f>
        <v>66199.260000000009</v>
      </c>
      <c r="N10" s="226">
        <v>5.6300000000000003E-2</v>
      </c>
      <c r="O10" s="224"/>
      <c r="P10" s="225">
        <f>SUM(P6:P9)</f>
        <v>68534.63</v>
      </c>
      <c r="Q10" s="225">
        <f>SUM(Q6:Q9)</f>
        <v>71426.19</v>
      </c>
      <c r="R10" s="226">
        <v>5.6300000000000003E-2</v>
      </c>
      <c r="S10" s="224"/>
      <c r="T10" s="225">
        <f>SUM(T6:T9)</f>
        <v>69930.570000000007</v>
      </c>
      <c r="U10" s="225">
        <f>SUM(U6:U9)</f>
        <v>64551.66</v>
      </c>
      <c r="V10" s="226">
        <v>5.6300000000000003E-2</v>
      </c>
      <c r="W10" s="224"/>
      <c r="X10" s="225">
        <f>SUM(X6:X9)</f>
        <v>70884.600000000006</v>
      </c>
      <c r="Y10" s="225">
        <f>SUM(Y6:Y9)</f>
        <v>70941.350000000006</v>
      </c>
      <c r="Z10" s="226">
        <f>(X10-T10)/T10</f>
        <v>1.3642531442257638E-2</v>
      </c>
      <c r="AA10" s="224"/>
      <c r="AB10" s="225">
        <f>SUM(AB6:AB9)</f>
        <v>71240.37</v>
      </c>
      <c r="AC10" s="225">
        <f>SUM(AC6:AC9)</f>
        <v>77044.070000000007</v>
      </c>
      <c r="AD10" s="226">
        <f>(AB10-X10)/X10</f>
        <v>5.0190027170921398E-3</v>
      </c>
      <c r="AE10" s="224"/>
      <c r="AF10" s="227">
        <f>SUM(AF6:AF9)</f>
        <v>88815.4</v>
      </c>
      <c r="AG10" s="381">
        <f>SUM(AG6:AG9)</f>
        <v>94071.84</v>
      </c>
      <c r="AH10" s="225">
        <f>SUM(AH6:AH9)</f>
        <v>80846.790000000008</v>
      </c>
      <c r="AI10" s="226">
        <f t="shared" si="0"/>
        <v>0.32048500028846005</v>
      </c>
      <c r="AJ10" s="226"/>
      <c r="AK10" s="225">
        <f>SUM(AK6:AK9)</f>
        <v>96274.89</v>
      </c>
      <c r="AL10" s="225">
        <f>SUM(AL6:AL9)</f>
        <v>52175.33</v>
      </c>
      <c r="AM10" s="452">
        <f>(AK10-AG10)/AG10</f>
        <v>2.341880418199541E-2</v>
      </c>
      <c r="AN10" s="224"/>
      <c r="AO10" s="227">
        <f>SUM(AO6:AO9)</f>
        <v>124355.564</v>
      </c>
      <c r="AP10" s="227">
        <f>SUM(AP6:AP9)</f>
        <v>28080.674000000003</v>
      </c>
      <c r="AQ10" s="452">
        <f>(AO10-AK10)/AK10</f>
        <v>0.2916718367582658</v>
      </c>
      <c r="AR10" s="224"/>
    </row>
    <row r="11" spans="1:44" x14ac:dyDescent="0.25">
      <c r="D11" s="112"/>
      <c r="E11" s="112"/>
      <c r="F11" s="216"/>
      <c r="H11" s="112"/>
      <c r="I11" s="112"/>
      <c r="J11" s="216"/>
      <c r="L11" s="112"/>
      <c r="M11" s="112"/>
      <c r="N11" s="216"/>
      <c r="P11" s="112"/>
      <c r="Q11" s="112"/>
      <c r="R11" s="216"/>
      <c r="T11" s="112"/>
      <c r="U11" s="112"/>
      <c r="V11" s="80"/>
      <c r="X11" s="112"/>
      <c r="Y11" s="112"/>
      <c r="Z11" s="80"/>
      <c r="AB11" s="112"/>
      <c r="AC11" s="112"/>
      <c r="AD11" s="80"/>
      <c r="AF11" s="112"/>
      <c r="AG11" s="112"/>
      <c r="AH11" s="112"/>
      <c r="AI11" s="216"/>
      <c r="AJ11" s="80"/>
      <c r="AK11" s="112"/>
      <c r="AL11" s="112"/>
      <c r="AM11" s="207"/>
      <c r="AP11" s="112"/>
      <c r="AQ11" s="207"/>
    </row>
    <row r="12" spans="1:44" x14ac:dyDescent="0.25">
      <c r="C12" s="111" t="s">
        <v>277</v>
      </c>
      <c r="D12" s="112"/>
      <c r="E12" s="112"/>
      <c r="F12" s="216"/>
      <c r="H12" s="112"/>
      <c r="I12" s="112"/>
      <c r="J12" s="216"/>
      <c r="L12" s="112"/>
      <c r="M12" s="112"/>
      <c r="N12" s="216"/>
      <c r="P12" s="112"/>
      <c r="Q12" s="112"/>
      <c r="R12" s="216"/>
      <c r="T12" s="112"/>
      <c r="U12" s="112"/>
      <c r="V12" s="80"/>
      <c r="X12" s="112"/>
      <c r="Y12" s="112"/>
      <c r="Z12" s="80"/>
      <c r="AB12" s="112"/>
      <c r="AC12" s="112"/>
      <c r="AD12" s="80"/>
      <c r="AF12" s="112"/>
      <c r="AG12" s="112"/>
      <c r="AH12" s="112"/>
      <c r="AI12" s="216"/>
      <c r="AJ12" s="80"/>
      <c r="AK12" s="112"/>
      <c r="AL12" s="112"/>
      <c r="AM12" s="207"/>
      <c r="AP12" s="112"/>
      <c r="AQ12" s="207"/>
      <c r="AR12" s="111"/>
    </row>
    <row r="13" spans="1:44" x14ac:dyDescent="0.25">
      <c r="A13" s="161" t="s">
        <v>686</v>
      </c>
      <c r="B13" s="119" t="str">
        <f t="shared" ref="B13:B34" si="1">MID(A13,14,4)</f>
        <v>5210</v>
      </c>
      <c r="C13" s="161" t="s">
        <v>1626</v>
      </c>
      <c r="D13" s="245">
        <v>300</v>
      </c>
      <c r="E13" s="245">
        <v>242.49</v>
      </c>
      <c r="F13" s="216"/>
      <c r="H13" s="245">
        <v>300</v>
      </c>
      <c r="I13" s="245">
        <v>85.2</v>
      </c>
      <c r="J13" s="216"/>
      <c r="L13" s="245">
        <v>300</v>
      </c>
      <c r="M13" s="245">
        <v>291.75</v>
      </c>
      <c r="N13" s="216"/>
      <c r="P13" s="245">
        <v>300</v>
      </c>
      <c r="Q13" s="245">
        <v>135.91</v>
      </c>
      <c r="R13" s="216"/>
      <c r="T13" s="245">
        <v>300</v>
      </c>
      <c r="U13" s="245">
        <v>232.37</v>
      </c>
      <c r="V13" s="216"/>
      <c r="W13" s="213"/>
      <c r="X13" s="245">
        <v>300</v>
      </c>
      <c r="Y13" s="245">
        <v>479.42</v>
      </c>
      <c r="Z13" s="216">
        <v>0</v>
      </c>
      <c r="AA13" s="213"/>
      <c r="AB13" s="245">
        <v>300</v>
      </c>
      <c r="AC13" s="245">
        <v>345.27</v>
      </c>
      <c r="AD13" s="216">
        <f t="shared" ref="AD13:AD41" si="2">(AB13-X13)/X13</f>
        <v>0</v>
      </c>
      <c r="AF13" s="245">
        <v>300</v>
      </c>
      <c r="AG13" s="245">
        <v>300</v>
      </c>
      <c r="AH13" s="245">
        <v>381.51</v>
      </c>
      <c r="AI13" s="216">
        <f t="shared" si="0"/>
        <v>0</v>
      </c>
      <c r="AJ13" s="80"/>
      <c r="AK13" s="398">
        <v>300</v>
      </c>
      <c r="AL13" s="398">
        <v>158.24</v>
      </c>
      <c r="AM13" s="207">
        <f t="shared" ref="AM13:AM28" si="3">(AK13-AG13)/AG13</f>
        <v>0</v>
      </c>
      <c r="AO13" s="163">
        <v>300</v>
      </c>
      <c r="AP13" s="398">
        <f t="shared" ref="AP13:AP41" si="4">AO13-AK13</f>
        <v>0</v>
      </c>
      <c r="AQ13" s="207">
        <f t="shared" ref="AQ13:AQ28" si="5">(AO13-AK13)/AK13</f>
        <v>0</v>
      </c>
      <c r="AR13" s="400" t="s">
        <v>1472</v>
      </c>
    </row>
    <row r="14" spans="1:44" x14ac:dyDescent="0.25">
      <c r="A14" s="161" t="s">
        <v>687</v>
      </c>
      <c r="B14" s="119" t="str">
        <f t="shared" si="1"/>
        <v>5211</v>
      </c>
      <c r="C14" s="161" t="s">
        <v>1628</v>
      </c>
      <c r="D14" s="245">
        <v>750</v>
      </c>
      <c r="E14" s="245">
        <v>611.16</v>
      </c>
      <c r="F14" s="216"/>
      <c r="H14" s="245">
        <v>750</v>
      </c>
      <c r="I14" s="245">
        <v>595.84</v>
      </c>
      <c r="J14" s="216"/>
      <c r="L14" s="245">
        <v>750</v>
      </c>
      <c r="M14" s="245">
        <v>714.23</v>
      </c>
      <c r="N14" s="216"/>
      <c r="P14" s="245">
        <v>750</v>
      </c>
      <c r="Q14" s="245">
        <v>953.37</v>
      </c>
      <c r="R14" s="216"/>
      <c r="T14" s="245">
        <v>750</v>
      </c>
      <c r="U14" s="245">
        <v>602.39</v>
      </c>
      <c r="V14" s="216"/>
      <c r="W14" s="213"/>
      <c r="X14" s="245">
        <v>750</v>
      </c>
      <c r="Y14" s="245">
        <v>820.03</v>
      </c>
      <c r="Z14" s="216">
        <v>0</v>
      </c>
      <c r="AA14" s="213"/>
      <c r="AB14" s="245">
        <v>750</v>
      </c>
      <c r="AC14" s="245">
        <v>701.1</v>
      </c>
      <c r="AD14" s="216">
        <f t="shared" si="2"/>
        <v>0</v>
      </c>
      <c r="AF14" s="245">
        <v>750</v>
      </c>
      <c r="AG14" s="245">
        <v>750</v>
      </c>
      <c r="AH14" s="245">
        <v>713.8</v>
      </c>
      <c r="AI14" s="216">
        <f t="shared" si="0"/>
        <v>0</v>
      </c>
      <c r="AJ14" s="80"/>
      <c r="AK14" s="398">
        <v>750</v>
      </c>
      <c r="AL14" s="398">
        <v>47.36</v>
      </c>
      <c r="AM14" s="207">
        <f t="shared" si="3"/>
        <v>0</v>
      </c>
      <c r="AO14" s="163">
        <v>750</v>
      </c>
      <c r="AP14" s="398">
        <f t="shared" si="4"/>
        <v>0</v>
      </c>
      <c r="AQ14" s="207">
        <f t="shared" si="5"/>
        <v>0</v>
      </c>
      <c r="AR14" s="166" t="s">
        <v>1069</v>
      </c>
    </row>
    <row r="15" spans="1:44" s="211" customFormat="1" x14ac:dyDescent="0.25">
      <c r="A15" s="211" t="s">
        <v>688</v>
      </c>
      <c r="B15" s="214" t="str">
        <f t="shared" si="1"/>
        <v>5215</v>
      </c>
      <c r="C15" s="211" t="s">
        <v>1837</v>
      </c>
      <c r="D15" s="245">
        <v>3010.61</v>
      </c>
      <c r="E15" s="245">
        <v>2934.58</v>
      </c>
      <c r="F15" s="216"/>
      <c r="G15" s="213"/>
      <c r="H15" s="245">
        <v>3200</v>
      </c>
      <c r="I15" s="245">
        <v>2765.4</v>
      </c>
      <c r="J15" s="216"/>
      <c r="K15" s="213"/>
      <c r="L15" s="245">
        <v>3200</v>
      </c>
      <c r="M15" s="245">
        <v>2807.59</v>
      </c>
      <c r="N15" s="216"/>
      <c r="O15" s="213"/>
      <c r="P15" s="245">
        <v>3200</v>
      </c>
      <c r="Q15" s="245">
        <v>2372.5100000000002</v>
      </c>
      <c r="R15" s="216"/>
      <c r="S15" s="213"/>
      <c r="T15" s="245">
        <v>3200</v>
      </c>
      <c r="U15" s="245">
        <v>682.05</v>
      </c>
      <c r="V15" s="216"/>
      <c r="W15" s="213"/>
      <c r="X15" s="245">
        <v>3200</v>
      </c>
      <c r="Y15" s="245">
        <v>295.39</v>
      </c>
      <c r="Z15" s="216">
        <v>0</v>
      </c>
      <c r="AA15" s="213"/>
      <c r="AB15" s="245">
        <v>2000</v>
      </c>
      <c r="AC15" s="245">
        <v>644.30999999999995</v>
      </c>
      <c r="AD15" s="216">
        <f t="shared" si="2"/>
        <v>-0.375</v>
      </c>
      <c r="AE15" s="213"/>
      <c r="AF15" s="245">
        <v>1000</v>
      </c>
      <c r="AG15" s="245">
        <v>1000</v>
      </c>
      <c r="AH15" s="245">
        <v>87.6</v>
      </c>
      <c r="AI15" s="216">
        <f t="shared" si="0"/>
        <v>-0.5</v>
      </c>
      <c r="AJ15" s="216"/>
      <c r="AK15" s="398">
        <v>1000</v>
      </c>
      <c r="AL15" s="398">
        <v>156.06</v>
      </c>
      <c r="AM15" s="207">
        <f t="shared" si="3"/>
        <v>0</v>
      </c>
      <c r="AN15" s="397"/>
      <c r="AO15" s="163">
        <v>300</v>
      </c>
      <c r="AP15" s="398">
        <f t="shared" si="4"/>
        <v>-700</v>
      </c>
      <c r="AQ15" s="207">
        <f t="shared" si="5"/>
        <v>-0.7</v>
      </c>
      <c r="AR15" s="288" t="s">
        <v>1219</v>
      </c>
    </row>
    <row r="16" spans="1:44" s="211" customFormat="1" x14ac:dyDescent="0.25">
      <c r="A16" s="211" t="s">
        <v>689</v>
      </c>
      <c r="B16" s="214" t="str">
        <f t="shared" si="1"/>
        <v>5241</v>
      </c>
      <c r="C16" s="211" t="s">
        <v>1630</v>
      </c>
      <c r="D16" s="245">
        <v>800</v>
      </c>
      <c r="E16" s="245">
        <v>1048.45</v>
      </c>
      <c r="F16" s="216"/>
      <c r="G16" s="213"/>
      <c r="H16" s="245">
        <v>800</v>
      </c>
      <c r="I16" s="245">
        <v>946.63</v>
      </c>
      <c r="J16" s="216"/>
      <c r="K16" s="213"/>
      <c r="L16" s="245">
        <v>800</v>
      </c>
      <c r="M16" s="245">
        <v>2060.8200000000002</v>
      </c>
      <c r="N16" s="216"/>
      <c r="O16" s="213"/>
      <c r="P16" s="245">
        <v>800</v>
      </c>
      <c r="Q16" s="245">
        <v>0</v>
      </c>
      <c r="R16" s="216"/>
      <c r="S16" s="213"/>
      <c r="T16" s="245">
        <v>800</v>
      </c>
      <c r="U16" s="245">
        <v>299.99</v>
      </c>
      <c r="V16" s="216"/>
      <c r="W16" s="213"/>
      <c r="X16" s="245">
        <v>800</v>
      </c>
      <c r="Y16" s="245">
        <v>0</v>
      </c>
      <c r="Z16" s="216">
        <v>0</v>
      </c>
      <c r="AA16" s="213"/>
      <c r="AB16" s="245">
        <v>800</v>
      </c>
      <c r="AC16" s="245">
        <v>800</v>
      </c>
      <c r="AD16" s="216">
        <f t="shared" si="2"/>
        <v>0</v>
      </c>
      <c r="AE16" s="213"/>
      <c r="AF16" s="245">
        <v>500</v>
      </c>
      <c r="AG16" s="245">
        <v>500</v>
      </c>
      <c r="AH16" s="245">
        <v>216.21</v>
      </c>
      <c r="AI16" s="216">
        <f t="shared" si="0"/>
        <v>-0.375</v>
      </c>
      <c r="AJ16" s="216"/>
      <c r="AK16" s="398">
        <v>500</v>
      </c>
      <c r="AL16" s="398">
        <v>0</v>
      </c>
      <c r="AM16" s="207">
        <f t="shared" si="3"/>
        <v>0</v>
      </c>
      <c r="AN16" s="397"/>
      <c r="AO16" s="163">
        <v>300</v>
      </c>
      <c r="AP16" s="398">
        <f t="shared" si="4"/>
        <v>-200</v>
      </c>
      <c r="AQ16" s="207">
        <f t="shared" si="5"/>
        <v>-0.4</v>
      </c>
      <c r="AR16" s="288" t="s">
        <v>864</v>
      </c>
    </row>
    <row r="17" spans="1:44" s="211" customFormat="1" x14ac:dyDescent="0.25">
      <c r="A17" s="211" t="s">
        <v>1336</v>
      </c>
      <c r="B17" s="214" t="str">
        <f>MID(A17,14,4)</f>
        <v>5243</v>
      </c>
      <c r="C17" s="211" t="s">
        <v>1681</v>
      </c>
      <c r="D17" s="245">
        <v>0</v>
      </c>
      <c r="E17" s="245">
        <v>0</v>
      </c>
      <c r="F17" s="216"/>
      <c r="G17" s="213"/>
      <c r="H17" s="245">
        <v>0</v>
      </c>
      <c r="I17" s="245">
        <v>0</v>
      </c>
      <c r="J17" s="216"/>
      <c r="K17" s="213"/>
      <c r="L17" s="245">
        <v>0</v>
      </c>
      <c r="M17" s="245">
        <v>0</v>
      </c>
      <c r="N17" s="216"/>
      <c r="O17" s="213"/>
      <c r="P17" s="245">
        <v>0</v>
      </c>
      <c r="Q17" s="245">
        <v>0</v>
      </c>
      <c r="R17" s="216"/>
      <c r="S17" s="213"/>
      <c r="T17" s="245">
        <v>0</v>
      </c>
      <c r="U17" s="245">
        <v>0</v>
      </c>
      <c r="V17" s="216"/>
      <c r="W17" s="213"/>
      <c r="X17" s="245">
        <v>0</v>
      </c>
      <c r="Y17" s="245">
        <v>0</v>
      </c>
      <c r="Z17" s="216" t="e">
        <v>#DIV/0!</v>
      </c>
      <c r="AA17" s="213"/>
      <c r="AB17" s="245">
        <v>0</v>
      </c>
      <c r="AC17" s="245">
        <v>0</v>
      </c>
      <c r="AD17" s="216" t="e">
        <f t="shared" si="2"/>
        <v>#DIV/0!</v>
      </c>
      <c r="AE17" s="213"/>
      <c r="AF17" s="245">
        <v>500</v>
      </c>
      <c r="AG17" s="245">
        <v>500</v>
      </c>
      <c r="AH17" s="245">
        <v>261.19</v>
      </c>
      <c r="AI17" s="216" t="e">
        <f t="shared" si="0"/>
        <v>#DIV/0!</v>
      </c>
      <c r="AJ17" s="216"/>
      <c r="AK17" s="398">
        <v>1000</v>
      </c>
      <c r="AL17" s="398">
        <v>434.82</v>
      </c>
      <c r="AM17" s="207">
        <f t="shared" si="3"/>
        <v>1</v>
      </c>
      <c r="AN17" s="397"/>
      <c r="AO17" s="163">
        <v>1000</v>
      </c>
      <c r="AP17" s="398">
        <f t="shared" si="4"/>
        <v>0</v>
      </c>
      <c r="AQ17" s="207">
        <f t="shared" si="5"/>
        <v>0</v>
      </c>
      <c r="AR17" s="288" t="s">
        <v>1337</v>
      </c>
    </row>
    <row r="18" spans="1:44" s="211" customFormat="1" x14ac:dyDescent="0.25">
      <c r="A18" s="211" t="s">
        <v>690</v>
      </c>
      <c r="B18" s="214" t="str">
        <f t="shared" si="1"/>
        <v>5245</v>
      </c>
      <c r="C18" s="211" t="s">
        <v>1633</v>
      </c>
      <c r="D18" s="245">
        <v>1500</v>
      </c>
      <c r="E18" s="245">
        <v>906.25</v>
      </c>
      <c r="F18" s="216"/>
      <c r="G18" s="213"/>
      <c r="H18" s="245">
        <v>1500</v>
      </c>
      <c r="I18" s="245">
        <v>559.03</v>
      </c>
      <c r="J18" s="216"/>
      <c r="K18" s="213"/>
      <c r="L18" s="245">
        <v>1500</v>
      </c>
      <c r="M18" s="245">
        <v>869.34</v>
      </c>
      <c r="N18" s="216"/>
      <c r="O18" s="213"/>
      <c r="P18" s="245">
        <v>1500</v>
      </c>
      <c r="Q18" s="245">
        <v>772.61</v>
      </c>
      <c r="R18" s="216"/>
      <c r="S18" s="213"/>
      <c r="T18" s="245">
        <v>1500</v>
      </c>
      <c r="U18" s="245">
        <v>0</v>
      </c>
      <c r="V18" s="216"/>
      <c r="W18" s="213"/>
      <c r="X18" s="245">
        <v>1500</v>
      </c>
      <c r="Y18" s="245">
        <v>1388.08</v>
      </c>
      <c r="Z18" s="216">
        <v>0</v>
      </c>
      <c r="AA18" s="213"/>
      <c r="AB18" s="245">
        <v>1500</v>
      </c>
      <c r="AC18" s="245">
        <v>260.52</v>
      </c>
      <c r="AD18" s="216">
        <f t="shared" si="2"/>
        <v>0</v>
      </c>
      <c r="AE18" s="213"/>
      <c r="AF18" s="245">
        <v>1500</v>
      </c>
      <c r="AG18" s="245">
        <v>1500</v>
      </c>
      <c r="AH18" s="245">
        <v>1619.05</v>
      </c>
      <c r="AI18" s="216">
        <f t="shared" si="0"/>
        <v>0</v>
      </c>
      <c r="AJ18" s="216"/>
      <c r="AK18" s="398">
        <v>1500</v>
      </c>
      <c r="AL18" s="398">
        <v>153.59</v>
      </c>
      <c r="AM18" s="207">
        <f t="shared" si="3"/>
        <v>0</v>
      </c>
      <c r="AN18" s="397"/>
      <c r="AO18" s="163">
        <v>1500</v>
      </c>
      <c r="AP18" s="398">
        <f t="shared" si="4"/>
        <v>0</v>
      </c>
      <c r="AQ18" s="207">
        <f t="shared" si="5"/>
        <v>0</v>
      </c>
      <c r="AR18" s="288" t="s">
        <v>865</v>
      </c>
    </row>
    <row r="19" spans="1:44" s="211" customFormat="1" x14ac:dyDescent="0.25">
      <c r="A19" s="211" t="s">
        <v>691</v>
      </c>
      <c r="B19" s="214" t="str">
        <f t="shared" si="1"/>
        <v>5246</v>
      </c>
      <c r="C19" s="211" t="s">
        <v>5</v>
      </c>
      <c r="D19" s="245">
        <v>3000</v>
      </c>
      <c r="E19" s="245">
        <v>2983.69</v>
      </c>
      <c r="F19" s="216"/>
      <c r="G19" s="213"/>
      <c r="H19" s="245">
        <v>3000</v>
      </c>
      <c r="I19" s="245">
        <v>2111.5</v>
      </c>
      <c r="J19" s="216"/>
      <c r="K19" s="213"/>
      <c r="L19" s="245">
        <v>2000</v>
      </c>
      <c r="M19" s="245">
        <v>630.44000000000005</v>
      </c>
      <c r="N19" s="216"/>
      <c r="O19" s="213"/>
      <c r="P19" s="245">
        <v>2000</v>
      </c>
      <c r="Q19" s="245">
        <v>481.52</v>
      </c>
      <c r="R19" s="216"/>
      <c r="S19" s="213"/>
      <c r="T19" s="245">
        <v>2000</v>
      </c>
      <c r="U19" s="245">
        <v>2140</v>
      </c>
      <c r="V19" s="216"/>
      <c r="W19" s="213"/>
      <c r="X19" s="245">
        <v>2000</v>
      </c>
      <c r="Y19" s="245">
        <v>1710</v>
      </c>
      <c r="Z19" s="216">
        <v>0</v>
      </c>
      <c r="AA19" s="213"/>
      <c r="AB19" s="245">
        <v>2000</v>
      </c>
      <c r="AC19" s="245">
        <v>2105</v>
      </c>
      <c r="AD19" s="216">
        <f t="shared" si="2"/>
        <v>0</v>
      </c>
      <c r="AE19" s="213"/>
      <c r="AF19" s="245">
        <v>2400</v>
      </c>
      <c r="AG19" s="245">
        <v>2400</v>
      </c>
      <c r="AH19" s="245">
        <v>2600</v>
      </c>
      <c r="AI19" s="216">
        <f t="shared" si="0"/>
        <v>0.2</v>
      </c>
      <c r="AJ19" s="216"/>
      <c r="AK19" s="398">
        <v>12400</v>
      </c>
      <c r="AL19" s="398">
        <v>4696.55</v>
      </c>
      <c r="AM19" s="207">
        <f t="shared" si="3"/>
        <v>4.166666666666667</v>
      </c>
      <c r="AN19" s="397"/>
      <c r="AO19" s="163">
        <v>12400</v>
      </c>
      <c r="AP19" s="398">
        <f t="shared" si="4"/>
        <v>0</v>
      </c>
      <c r="AQ19" s="207">
        <f t="shared" si="5"/>
        <v>0</v>
      </c>
      <c r="AR19" s="288" t="s">
        <v>1272</v>
      </c>
    </row>
    <row r="20" spans="1:44" s="211" customFormat="1" x14ac:dyDescent="0.25">
      <c r="A20" s="211" t="s">
        <v>692</v>
      </c>
      <c r="B20" s="214" t="str">
        <f t="shared" si="1"/>
        <v>5253</v>
      </c>
      <c r="C20" s="211" t="s">
        <v>1838</v>
      </c>
      <c r="D20" s="245">
        <v>3000</v>
      </c>
      <c r="E20" s="245">
        <v>1462.23</v>
      </c>
      <c r="F20" s="216"/>
      <c r="G20" s="213"/>
      <c r="H20" s="245">
        <v>3000</v>
      </c>
      <c r="I20" s="245">
        <v>2924.46</v>
      </c>
      <c r="J20" s="216"/>
      <c r="K20" s="213"/>
      <c r="L20" s="245">
        <v>3000</v>
      </c>
      <c r="M20" s="245">
        <v>2924.46</v>
      </c>
      <c r="N20" s="216"/>
      <c r="O20" s="213"/>
      <c r="P20" s="245">
        <v>3000</v>
      </c>
      <c r="Q20" s="245">
        <v>3696</v>
      </c>
      <c r="R20" s="216"/>
      <c r="S20" s="213"/>
      <c r="T20" s="245">
        <v>3000</v>
      </c>
      <c r="U20" s="245">
        <v>3744</v>
      </c>
      <c r="V20" s="216"/>
      <c r="W20" s="213"/>
      <c r="X20" s="245">
        <v>3000</v>
      </c>
      <c r="Y20" s="245">
        <v>3672</v>
      </c>
      <c r="Z20" s="216">
        <v>0</v>
      </c>
      <c r="AA20" s="213"/>
      <c r="AB20" s="245">
        <v>3744</v>
      </c>
      <c r="AC20" s="245">
        <v>1824</v>
      </c>
      <c r="AD20" s="216">
        <f t="shared" si="2"/>
        <v>0.248</v>
      </c>
      <c r="AE20" s="213"/>
      <c r="AF20" s="245">
        <v>3744</v>
      </c>
      <c r="AG20" s="245">
        <v>3744</v>
      </c>
      <c r="AH20" s="245">
        <v>3696</v>
      </c>
      <c r="AI20" s="216">
        <f t="shared" si="0"/>
        <v>0</v>
      </c>
      <c r="AJ20" s="216"/>
      <c r="AK20" s="398">
        <v>3744</v>
      </c>
      <c r="AL20" s="398">
        <v>1924.23</v>
      </c>
      <c r="AM20" s="207">
        <f t="shared" si="3"/>
        <v>0</v>
      </c>
      <c r="AN20" s="397"/>
      <c r="AO20" s="163">
        <v>3744</v>
      </c>
      <c r="AP20" s="398">
        <f t="shared" si="4"/>
        <v>0</v>
      </c>
      <c r="AQ20" s="207">
        <f t="shared" si="5"/>
        <v>0</v>
      </c>
      <c r="AR20" s="288" t="s">
        <v>866</v>
      </c>
    </row>
    <row r="21" spans="1:44" s="211" customFormat="1" x14ac:dyDescent="0.25">
      <c r="A21" s="211" t="s">
        <v>693</v>
      </c>
      <c r="B21" s="214" t="str">
        <f t="shared" si="1"/>
        <v>5256</v>
      </c>
      <c r="C21" s="211" t="s">
        <v>1839</v>
      </c>
      <c r="D21" s="245">
        <v>15000</v>
      </c>
      <c r="E21" s="245">
        <v>14614.88</v>
      </c>
      <c r="F21" s="216"/>
      <c r="G21" s="213"/>
      <c r="H21" s="245">
        <v>15000</v>
      </c>
      <c r="I21" s="245">
        <v>14877.83</v>
      </c>
      <c r="J21" s="216"/>
      <c r="K21" s="213"/>
      <c r="L21" s="245">
        <v>15000</v>
      </c>
      <c r="M21" s="245">
        <v>18124.64</v>
      </c>
      <c r="N21" s="216"/>
      <c r="O21" s="213"/>
      <c r="P21" s="245">
        <v>15000</v>
      </c>
      <c r="Q21" s="245">
        <v>15497.75</v>
      </c>
      <c r="R21" s="216"/>
      <c r="S21" s="213"/>
      <c r="T21" s="245">
        <v>15000</v>
      </c>
      <c r="U21" s="245">
        <v>18545.32</v>
      </c>
      <c r="V21" s="216"/>
      <c r="W21" s="213"/>
      <c r="X21" s="245">
        <v>15000</v>
      </c>
      <c r="Y21" s="245">
        <v>16128.95</v>
      </c>
      <c r="Z21" s="216">
        <v>0</v>
      </c>
      <c r="AA21" s="213"/>
      <c r="AB21" s="245">
        <v>15000</v>
      </c>
      <c r="AC21" s="245">
        <v>14136.48</v>
      </c>
      <c r="AD21" s="216">
        <f t="shared" si="2"/>
        <v>0</v>
      </c>
      <c r="AE21" s="213"/>
      <c r="AF21" s="245">
        <v>16000</v>
      </c>
      <c r="AG21" s="245">
        <v>16000</v>
      </c>
      <c r="AH21" s="245">
        <v>14817.12</v>
      </c>
      <c r="AI21" s="216">
        <f t="shared" si="0"/>
        <v>6.6666666666666666E-2</v>
      </c>
      <c r="AJ21" s="216"/>
      <c r="AK21" s="398">
        <v>20000</v>
      </c>
      <c r="AL21" s="398">
        <v>6998.68</v>
      </c>
      <c r="AM21" s="207">
        <f t="shared" si="3"/>
        <v>0.25</v>
      </c>
      <c r="AN21" s="397"/>
      <c r="AO21" s="163">
        <v>20000</v>
      </c>
      <c r="AP21" s="398">
        <f t="shared" si="4"/>
        <v>0</v>
      </c>
      <c r="AQ21" s="207">
        <f t="shared" si="5"/>
        <v>0</v>
      </c>
      <c r="AR21" s="288" t="s">
        <v>867</v>
      </c>
    </row>
    <row r="22" spans="1:44" s="211" customFormat="1" x14ac:dyDescent="0.25">
      <c r="A22" s="211" t="s">
        <v>694</v>
      </c>
      <c r="B22" s="214" t="str">
        <f t="shared" si="1"/>
        <v>5257</v>
      </c>
      <c r="C22" s="211" t="s">
        <v>1840</v>
      </c>
      <c r="D22" s="245">
        <v>5000</v>
      </c>
      <c r="E22" s="245">
        <v>6125</v>
      </c>
      <c r="F22" s="216"/>
      <c r="G22" s="213"/>
      <c r="H22" s="245">
        <v>5000</v>
      </c>
      <c r="I22" s="245">
        <v>3765</v>
      </c>
      <c r="J22" s="216"/>
      <c r="K22" s="213"/>
      <c r="L22" s="245">
        <v>5000</v>
      </c>
      <c r="M22" s="245">
        <v>6539</v>
      </c>
      <c r="N22" s="216"/>
      <c r="O22" s="213"/>
      <c r="P22" s="245">
        <v>5000</v>
      </c>
      <c r="Q22" s="245">
        <v>7436</v>
      </c>
      <c r="R22" s="216"/>
      <c r="S22" s="213"/>
      <c r="T22" s="245">
        <v>6000</v>
      </c>
      <c r="U22" s="245">
        <v>11869</v>
      </c>
      <c r="V22" s="216"/>
      <c r="W22" s="213"/>
      <c r="X22" s="245">
        <v>6000</v>
      </c>
      <c r="Y22" s="245">
        <v>8875</v>
      </c>
      <c r="Z22" s="216">
        <v>0</v>
      </c>
      <c r="AA22" s="213"/>
      <c r="AB22" s="245">
        <v>6000</v>
      </c>
      <c r="AC22" s="245">
        <v>4875</v>
      </c>
      <c r="AD22" s="216">
        <f t="shared" si="2"/>
        <v>0</v>
      </c>
      <c r="AE22" s="213"/>
      <c r="AF22" s="245">
        <v>6000</v>
      </c>
      <c r="AG22" s="245">
        <v>6000</v>
      </c>
      <c r="AH22" s="245">
        <v>7867</v>
      </c>
      <c r="AI22" s="216">
        <f t="shared" si="0"/>
        <v>0</v>
      </c>
      <c r="AJ22" s="216"/>
      <c r="AK22" s="398">
        <v>7000</v>
      </c>
      <c r="AL22" s="398">
        <v>0</v>
      </c>
      <c r="AM22" s="207">
        <f t="shared" si="3"/>
        <v>0.16666666666666666</v>
      </c>
      <c r="AN22" s="397"/>
      <c r="AO22" s="163">
        <v>7000</v>
      </c>
      <c r="AP22" s="398">
        <f t="shared" si="4"/>
        <v>0</v>
      </c>
      <c r="AQ22" s="207">
        <f t="shared" si="5"/>
        <v>0</v>
      </c>
      <c r="AR22" s="288" t="s">
        <v>863</v>
      </c>
    </row>
    <row r="23" spans="1:44" s="211" customFormat="1" x14ac:dyDescent="0.25">
      <c r="A23" s="211" t="s">
        <v>695</v>
      </c>
      <c r="B23" s="214" t="str">
        <f t="shared" si="1"/>
        <v>5263</v>
      </c>
      <c r="C23" s="211" t="s">
        <v>1841</v>
      </c>
      <c r="D23" s="245">
        <v>5000</v>
      </c>
      <c r="E23" s="245">
        <v>5020.5200000000004</v>
      </c>
      <c r="F23" s="216"/>
      <c r="G23" s="213"/>
      <c r="H23" s="245">
        <v>5000</v>
      </c>
      <c r="I23" s="245">
        <v>3954</v>
      </c>
      <c r="J23" s="216"/>
      <c r="K23" s="213"/>
      <c r="L23" s="245">
        <v>5000</v>
      </c>
      <c r="M23" s="245">
        <v>5643.97</v>
      </c>
      <c r="N23" s="216"/>
      <c r="O23" s="213"/>
      <c r="P23" s="245">
        <v>5000</v>
      </c>
      <c r="Q23" s="245">
        <v>6802.77</v>
      </c>
      <c r="R23" s="216"/>
      <c r="S23" s="213"/>
      <c r="T23" s="245">
        <v>5000</v>
      </c>
      <c r="U23" s="245">
        <v>3392.8</v>
      </c>
      <c r="V23" s="216"/>
      <c r="W23" s="213"/>
      <c r="X23" s="245">
        <v>5000</v>
      </c>
      <c r="Y23" s="245">
        <v>4101.76</v>
      </c>
      <c r="Z23" s="216">
        <v>0</v>
      </c>
      <c r="AA23" s="213"/>
      <c r="AB23" s="245">
        <v>5000</v>
      </c>
      <c r="AC23" s="245">
        <v>1304</v>
      </c>
      <c r="AD23" s="216">
        <f t="shared" si="2"/>
        <v>0</v>
      </c>
      <c r="AE23" s="213"/>
      <c r="AF23" s="245">
        <v>5000</v>
      </c>
      <c r="AG23" s="245">
        <v>5000</v>
      </c>
      <c r="AH23" s="245">
        <v>10472.33</v>
      </c>
      <c r="AI23" s="216">
        <f t="shared" si="0"/>
        <v>0</v>
      </c>
      <c r="AJ23" s="216"/>
      <c r="AK23" s="398">
        <v>5000</v>
      </c>
      <c r="AL23" s="398">
        <v>0</v>
      </c>
      <c r="AM23" s="207">
        <f t="shared" si="3"/>
        <v>0</v>
      </c>
      <c r="AN23" s="397"/>
      <c r="AO23" s="163">
        <v>5000</v>
      </c>
      <c r="AP23" s="398">
        <f t="shared" si="4"/>
        <v>0</v>
      </c>
      <c r="AQ23" s="207">
        <f t="shared" si="5"/>
        <v>0</v>
      </c>
      <c r="AR23" s="288" t="s">
        <v>868</v>
      </c>
    </row>
    <row r="24" spans="1:44" s="211" customFormat="1" x14ac:dyDescent="0.25">
      <c r="A24" s="211" t="s">
        <v>696</v>
      </c>
      <c r="B24" s="214" t="str">
        <f t="shared" si="1"/>
        <v>5264</v>
      </c>
      <c r="C24" s="211" t="s">
        <v>1842</v>
      </c>
      <c r="D24" s="245">
        <v>2500</v>
      </c>
      <c r="E24" s="245">
        <v>1416.43</v>
      </c>
      <c r="F24" s="216"/>
      <c r="G24" s="213"/>
      <c r="H24" s="245">
        <v>2500</v>
      </c>
      <c r="I24" s="245">
        <v>4577</v>
      </c>
      <c r="J24" s="216"/>
      <c r="K24" s="213"/>
      <c r="L24" s="245">
        <v>2500</v>
      </c>
      <c r="M24" s="245">
        <v>2510</v>
      </c>
      <c r="N24" s="216"/>
      <c r="O24" s="213"/>
      <c r="P24" s="245">
        <v>2500</v>
      </c>
      <c r="Q24" s="245">
        <v>2451.5</v>
      </c>
      <c r="R24" s="216"/>
      <c r="S24" s="213"/>
      <c r="T24" s="245">
        <v>2500</v>
      </c>
      <c r="U24" s="245">
        <v>2081</v>
      </c>
      <c r="V24" s="216"/>
      <c r="W24" s="213"/>
      <c r="X24" s="245">
        <v>2500</v>
      </c>
      <c r="Y24" s="245">
        <v>2610</v>
      </c>
      <c r="Z24" s="216">
        <v>0</v>
      </c>
      <c r="AA24" s="213"/>
      <c r="AB24" s="245">
        <v>2500</v>
      </c>
      <c r="AC24" s="245">
        <v>2149.3000000000002</v>
      </c>
      <c r="AD24" s="216">
        <f t="shared" si="2"/>
        <v>0</v>
      </c>
      <c r="AE24" s="213"/>
      <c r="AF24" s="245">
        <v>2500</v>
      </c>
      <c r="AG24" s="245">
        <v>2500</v>
      </c>
      <c r="AH24" s="245">
        <v>5925</v>
      </c>
      <c r="AI24" s="216">
        <f t="shared" si="0"/>
        <v>0</v>
      </c>
      <c r="AJ24" s="216"/>
      <c r="AK24" s="398">
        <v>7500</v>
      </c>
      <c r="AL24" s="398">
        <v>225</v>
      </c>
      <c r="AM24" s="207">
        <f t="shared" si="3"/>
        <v>2</v>
      </c>
      <c r="AN24" s="397"/>
      <c r="AO24" s="163">
        <v>12500</v>
      </c>
      <c r="AP24" s="398">
        <f t="shared" si="4"/>
        <v>5000</v>
      </c>
      <c r="AQ24" s="207">
        <f t="shared" si="5"/>
        <v>0.66666666666666663</v>
      </c>
      <c r="AR24" s="524" t="s">
        <v>2031</v>
      </c>
    </row>
    <row r="25" spans="1:44" s="211" customFormat="1" x14ac:dyDescent="0.25">
      <c r="A25" s="211" t="s">
        <v>697</v>
      </c>
      <c r="B25" s="214" t="str">
        <f t="shared" si="1"/>
        <v>5272</v>
      </c>
      <c r="C25" s="211" t="s">
        <v>1843</v>
      </c>
      <c r="D25" s="245">
        <v>29000</v>
      </c>
      <c r="E25" s="245">
        <v>33862.5</v>
      </c>
      <c r="F25" s="216"/>
      <c r="G25" s="213"/>
      <c r="H25" s="245">
        <v>29000</v>
      </c>
      <c r="I25" s="245">
        <v>32532.5</v>
      </c>
      <c r="J25" s="216"/>
      <c r="K25" s="213"/>
      <c r="L25" s="245">
        <v>29000</v>
      </c>
      <c r="M25" s="245">
        <v>23357.9</v>
      </c>
      <c r="N25" s="216"/>
      <c r="O25" s="213"/>
      <c r="P25" s="245">
        <v>39000</v>
      </c>
      <c r="Q25" s="245">
        <v>30990</v>
      </c>
      <c r="R25" s="216"/>
      <c r="S25" s="213"/>
      <c r="T25" s="245">
        <v>39000</v>
      </c>
      <c r="U25" s="245">
        <v>36969.949999999997</v>
      </c>
      <c r="V25" s="216"/>
      <c r="W25" s="213"/>
      <c r="X25" s="245">
        <v>39000</v>
      </c>
      <c r="Y25" s="245">
        <v>33839.96</v>
      </c>
      <c r="Z25" s="216">
        <v>0</v>
      </c>
      <c r="AA25" s="213"/>
      <c r="AB25" s="245">
        <v>39000</v>
      </c>
      <c r="AC25" s="245">
        <v>22850</v>
      </c>
      <c r="AD25" s="216">
        <f t="shared" si="2"/>
        <v>0</v>
      </c>
      <c r="AE25" s="213"/>
      <c r="AF25" s="245">
        <v>30900</v>
      </c>
      <c r="AG25" s="245">
        <v>30900</v>
      </c>
      <c r="AH25" s="245">
        <v>8065</v>
      </c>
      <c r="AI25" s="216">
        <f t="shared" si="0"/>
        <v>-0.2076923076923077</v>
      </c>
      <c r="AJ25" s="216"/>
      <c r="AK25" s="398">
        <v>6000</v>
      </c>
      <c r="AL25" s="398">
        <v>360</v>
      </c>
      <c r="AM25" s="207">
        <f t="shared" si="3"/>
        <v>-0.80582524271844658</v>
      </c>
      <c r="AN25" s="397"/>
      <c r="AO25" s="163">
        <v>5000</v>
      </c>
      <c r="AP25" s="398">
        <f t="shared" si="4"/>
        <v>-1000</v>
      </c>
      <c r="AQ25" s="207">
        <f t="shared" si="5"/>
        <v>-0.16666666666666666</v>
      </c>
      <c r="AR25" s="524" t="s">
        <v>2164</v>
      </c>
    </row>
    <row r="26" spans="1:44" s="211" customFormat="1" x14ac:dyDescent="0.25">
      <c r="A26" s="211" t="s">
        <v>698</v>
      </c>
      <c r="B26" s="214" t="str">
        <f t="shared" si="1"/>
        <v>5303</v>
      </c>
      <c r="C26" s="211" t="s">
        <v>1495</v>
      </c>
      <c r="D26" s="245">
        <v>50</v>
      </c>
      <c r="E26" s="245">
        <v>0</v>
      </c>
      <c r="F26" s="216"/>
      <c r="G26" s="213"/>
      <c r="H26" s="245">
        <v>50</v>
      </c>
      <c r="I26" s="245">
        <v>0</v>
      </c>
      <c r="J26" s="216"/>
      <c r="K26" s="213"/>
      <c r="L26" s="245">
        <v>50</v>
      </c>
      <c r="M26" s="245">
        <v>0</v>
      </c>
      <c r="N26" s="216"/>
      <c r="O26" s="213"/>
      <c r="P26" s="245">
        <v>50</v>
      </c>
      <c r="Q26" s="245">
        <v>0</v>
      </c>
      <c r="R26" s="216"/>
      <c r="S26" s="213"/>
      <c r="T26" s="245">
        <v>50</v>
      </c>
      <c r="U26" s="245">
        <v>0</v>
      </c>
      <c r="V26" s="216"/>
      <c r="W26" s="213"/>
      <c r="X26" s="245">
        <v>50</v>
      </c>
      <c r="Y26" s="245">
        <v>0</v>
      </c>
      <c r="Z26" s="216">
        <v>0</v>
      </c>
      <c r="AA26" s="213"/>
      <c r="AB26" s="245">
        <v>50</v>
      </c>
      <c r="AC26" s="245">
        <v>150</v>
      </c>
      <c r="AD26" s="216">
        <f t="shared" si="2"/>
        <v>0</v>
      </c>
      <c r="AE26" s="213"/>
      <c r="AF26" s="245">
        <v>50</v>
      </c>
      <c r="AG26" s="245">
        <v>50</v>
      </c>
      <c r="AH26" s="245">
        <v>0</v>
      </c>
      <c r="AI26" s="216">
        <f t="shared" si="0"/>
        <v>0</v>
      </c>
      <c r="AJ26" s="216"/>
      <c r="AK26" s="398">
        <v>50</v>
      </c>
      <c r="AL26" s="398">
        <v>0</v>
      </c>
      <c r="AM26" s="207">
        <f t="shared" si="3"/>
        <v>0</v>
      </c>
      <c r="AN26" s="397"/>
      <c r="AO26" s="163">
        <v>50</v>
      </c>
      <c r="AP26" s="398">
        <f t="shared" si="4"/>
        <v>0</v>
      </c>
      <c r="AQ26" s="207">
        <f t="shared" si="5"/>
        <v>0</v>
      </c>
      <c r="AR26" s="288" t="s">
        <v>869</v>
      </c>
    </row>
    <row r="27" spans="1:44" s="211" customFormat="1" x14ac:dyDescent="0.25">
      <c r="A27" s="211" t="s">
        <v>699</v>
      </c>
      <c r="B27" s="214" t="str">
        <f t="shared" si="1"/>
        <v>5341</v>
      </c>
      <c r="C27" s="211" t="s">
        <v>1640</v>
      </c>
      <c r="D27" s="245">
        <v>600</v>
      </c>
      <c r="E27" s="245">
        <v>554.25</v>
      </c>
      <c r="F27" s="216"/>
      <c r="G27" s="213"/>
      <c r="H27" s="245">
        <v>600</v>
      </c>
      <c r="I27" s="245">
        <v>482.13</v>
      </c>
      <c r="J27" s="216"/>
      <c r="K27" s="213"/>
      <c r="L27" s="245">
        <v>600</v>
      </c>
      <c r="M27" s="245">
        <v>1379.41</v>
      </c>
      <c r="N27" s="216"/>
      <c r="O27" s="213"/>
      <c r="P27" s="245">
        <v>600</v>
      </c>
      <c r="Q27" s="245">
        <v>1069.8800000000001</v>
      </c>
      <c r="R27" s="216"/>
      <c r="S27" s="213"/>
      <c r="T27" s="245">
        <v>600</v>
      </c>
      <c r="U27" s="245">
        <v>1187.57</v>
      </c>
      <c r="V27" s="216"/>
      <c r="W27" s="213"/>
      <c r="X27" s="245">
        <v>600</v>
      </c>
      <c r="Y27" s="245">
        <v>720.94</v>
      </c>
      <c r="Z27" s="216">
        <v>0</v>
      </c>
      <c r="AA27" s="213"/>
      <c r="AB27" s="245">
        <v>1300</v>
      </c>
      <c r="AC27" s="245">
        <v>718.79</v>
      </c>
      <c r="AD27" s="216">
        <f t="shared" si="2"/>
        <v>1.1666666666666667</v>
      </c>
      <c r="AE27" s="213"/>
      <c r="AF27" s="245">
        <v>1300</v>
      </c>
      <c r="AG27" s="245">
        <v>1300</v>
      </c>
      <c r="AH27" s="245">
        <v>611.89</v>
      </c>
      <c r="AI27" s="216">
        <f t="shared" si="0"/>
        <v>0</v>
      </c>
      <c r="AJ27" s="216"/>
      <c r="AK27" s="398">
        <v>1300</v>
      </c>
      <c r="AL27" s="398">
        <v>314.14999999999998</v>
      </c>
      <c r="AM27" s="207">
        <f t="shared" si="3"/>
        <v>0</v>
      </c>
      <c r="AN27" s="397"/>
      <c r="AO27" s="163">
        <v>750</v>
      </c>
      <c r="AP27" s="398">
        <f t="shared" si="4"/>
        <v>-550</v>
      </c>
      <c r="AQ27" s="207">
        <f t="shared" si="5"/>
        <v>-0.42307692307692307</v>
      </c>
      <c r="AR27" s="787" t="s">
        <v>2165</v>
      </c>
    </row>
    <row r="28" spans="1:44" s="211" customFormat="1" x14ac:dyDescent="0.25">
      <c r="A28" s="211" t="s">
        <v>700</v>
      </c>
      <c r="B28" s="214" t="str">
        <f t="shared" si="1"/>
        <v>5420</v>
      </c>
      <c r="C28" s="211" t="s">
        <v>1480</v>
      </c>
      <c r="D28" s="245">
        <v>100</v>
      </c>
      <c r="E28" s="245">
        <v>113.53</v>
      </c>
      <c r="F28" s="216"/>
      <c r="G28" s="213"/>
      <c r="H28" s="245">
        <v>100</v>
      </c>
      <c r="I28" s="245">
        <v>0</v>
      </c>
      <c r="J28" s="216"/>
      <c r="K28" s="213"/>
      <c r="L28" s="245">
        <v>100</v>
      </c>
      <c r="M28" s="245">
        <v>19.989999999999998</v>
      </c>
      <c r="N28" s="216"/>
      <c r="O28" s="213"/>
      <c r="P28" s="245">
        <v>100</v>
      </c>
      <c r="Q28" s="245">
        <v>0</v>
      </c>
      <c r="R28" s="216"/>
      <c r="S28" s="213"/>
      <c r="T28" s="245">
        <v>100</v>
      </c>
      <c r="U28" s="245">
        <v>8.5299999999999994</v>
      </c>
      <c r="V28" s="216"/>
      <c r="W28" s="213"/>
      <c r="X28" s="245">
        <v>100</v>
      </c>
      <c r="Y28" s="245">
        <v>10.23</v>
      </c>
      <c r="Z28" s="216">
        <v>0</v>
      </c>
      <c r="AA28" s="213"/>
      <c r="AB28" s="245">
        <v>100</v>
      </c>
      <c r="AC28" s="245">
        <v>7.54</v>
      </c>
      <c r="AD28" s="216">
        <f t="shared" si="2"/>
        <v>0</v>
      </c>
      <c r="AE28" s="213"/>
      <c r="AF28" s="245">
        <v>100</v>
      </c>
      <c r="AG28" s="245">
        <v>100</v>
      </c>
      <c r="AH28" s="245">
        <v>0</v>
      </c>
      <c r="AI28" s="216">
        <f t="shared" si="0"/>
        <v>0</v>
      </c>
      <c r="AJ28" s="216"/>
      <c r="AK28" s="398">
        <v>100</v>
      </c>
      <c r="AL28" s="398">
        <v>0</v>
      </c>
      <c r="AM28" s="207">
        <f t="shared" si="3"/>
        <v>0</v>
      </c>
      <c r="AN28" s="397"/>
      <c r="AO28" s="163">
        <v>50</v>
      </c>
      <c r="AP28" s="398">
        <f t="shared" si="4"/>
        <v>-50</v>
      </c>
      <c r="AQ28" s="207">
        <f t="shared" si="5"/>
        <v>-0.5</v>
      </c>
      <c r="AR28" s="288" t="s">
        <v>870</v>
      </c>
    </row>
    <row r="29" spans="1:44" s="211" customFormat="1" x14ac:dyDescent="0.25">
      <c r="A29" s="211" t="s">
        <v>1334</v>
      </c>
      <c r="B29" s="214" t="str">
        <f>MID(A29,14,4)</f>
        <v>5481</v>
      </c>
      <c r="C29" s="211" t="s">
        <v>1683</v>
      </c>
      <c r="D29" s="245">
        <v>0</v>
      </c>
      <c r="E29" s="245">
        <v>0</v>
      </c>
      <c r="F29" s="216"/>
      <c r="G29" s="213"/>
      <c r="H29" s="245">
        <v>0</v>
      </c>
      <c r="I29" s="245">
        <v>0</v>
      </c>
      <c r="J29" s="216"/>
      <c r="K29" s="213"/>
      <c r="L29" s="245">
        <v>0</v>
      </c>
      <c r="M29" s="245">
        <v>0</v>
      </c>
      <c r="N29" s="216"/>
      <c r="O29" s="213"/>
      <c r="P29" s="245">
        <v>0</v>
      </c>
      <c r="Q29" s="245">
        <v>0</v>
      </c>
      <c r="R29" s="216"/>
      <c r="S29" s="213"/>
      <c r="T29" s="245">
        <v>0</v>
      </c>
      <c r="U29" s="245">
        <v>0</v>
      </c>
      <c r="V29" s="216"/>
      <c r="W29" s="213"/>
      <c r="X29" s="245">
        <v>0</v>
      </c>
      <c r="Y29" s="245">
        <v>0</v>
      </c>
      <c r="Z29" s="216" t="e">
        <v>#DIV/0!</v>
      </c>
      <c r="AA29" s="213"/>
      <c r="AB29" s="245">
        <v>0</v>
      </c>
      <c r="AC29" s="245">
        <v>1451.96</v>
      </c>
      <c r="AD29" s="216" t="e">
        <f>(AB29-X29)/X29</f>
        <v>#DIV/0!</v>
      </c>
      <c r="AE29" s="213"/>
      <c r="AF29" s="245">
        <v>3600</v>
      </c>
      <c r="AG29" s="245">
        <v>3600</v>
      </c>
      <c r="AH29" s="245">
        <v>4597.93</v>
      </c>
      <c r="AI29" s="216" t="e">
        <f>(AG29-AB29)/AB29</f>
        <v>#DIV/0!</v>
      </c>
      <c r="AJ29" s="216"/>
      <c r="AK29" s="398">
        <v>4600</v>
      </c>
      <c r="AL29" s="398">
        <v>2026.24</v>
      </c>
      <c r="AM29" s="207">
        <f>(AK29-AG29)/AG29</f>
        <v>0.27777777777777779</v>
      </c>
      <c r="AN29" s="397"/>
      <c r="AO29" s="163">
        <v>4600</v>
      </c>
      <c r="AP29" s="398">
        <f t="shared" si="4"/>
        <v>0</v>
      </c>
      <c r="AQ29" s="207">
        <f>(AO29-AK29)/AK29</f>
        <v>0</v>
      </c>
      <c r="AR29" s="288" t="s">
        <v>1335</v>
      </c>
    </row>
    <row r="30" spans="1:44" s="394" customFormat="1" x14ac:dyDescent="0.25">
      <c r="A30" s="395" t="s">
        <v>1492</v>
      </c>
      <c r="B30" s="395">
        <v>5482</v>
      </c>
      <c r="C30" s="394" t="s">
        <v>1493</v>
      </c>
      <c r="D30" s="398"/>
      <c r="E30" s="398"/>
      <c r="F30" s="396"/>
      <c r="G30" s="397"/>
      <c r="H30" s="398"/>
      <c r="I30" s="398"/>
      <c r="J30" s="396"/>
      <c r="K30" s="397"/>
      <c r="L30" s="398"/>
      <c r="M30" s="398"/>
      <c r="N30" s="396"/>
      <c r="O30" s="397"/>
      <c r="P30" s="398"/>
      <c r="Q30" s="398"/>
      <c r="R30" s="396"/>
      <c r="S30" s="397"/>
      <c r="T30" s="398"/>
      <c r="U30" s="398"/>
      <c r="V30" s="396"/>
      <c r="W30" s="397"/>
      <c r="X30" s="398"/>
      <c r="Y30" s="398"/>
      <c r="Z30" s="396"/>
      <c r="AA30" s="397"/>
      <c r="AB30" s="398"/>
      <c r="AC30" s="398"/>
      <c r="AD30" s="396"/>
      <c r="AE30" s="397"/>
      <c r="AF30" s="398"/>
      <c r="AG30" s="398"/>
      <c r="AH30" s="398">
        <v>21.23</v>
      </c>
      <c r="AI30" s="396"/>
      <c r="AJ30" s="396"/>
      <c r="AK30" s="398"/>
      <c r="AL30" s="398"/>
      <c r="AM30" s="207"/>
      <c r="AN30" s="397"/>
      <c r="AO30" s="163"/>
      <c r="AP30" s="398">
        <f t="shared" si="4"/>
        <v>0</v>
      </c>
      <c r="AQ30" s="207"/>
      <c r="AR30" s="400"/>
    </row>
    <row r="31" spans="1:44" s="211" customFormat="1" x14ac:dyDescent="0.25">
      <c r="A31" s="211" t="s">
        <v>701</v>
      </c>
      <c r="B31" s="214" t="str">
        <f t="shared" si="1"/>
        <v>5530</v>
      </c>
      <c r="C31" s="211" t="s">
        <v>1844</v>
      </c>
      <c r="D31" s="245">
        <v>1500</v>
      </c>
      <c r="E31" s="245">
        <v>1343.81</v>
      </c>
      <c r="F31" s="216"/>
      <c r="G31" s="213"/>
      <c r="H31" s="245">
        <v>1500</v>
      </c>
      <c r="I31" s="245">
        <v>1746.66</v>
      </c>
      <c r="J31" s="216"/>
      <c r="K31" s="213"/>
      <c r="L31" s="245">
        <v>1500</v>
      </c>
      <c r="M31" s="245">
        <v>1624.03</v>
      </c>
      <c r="N31" s="216"/>
      <c r="O31" s="213"/>
      <c r="P31" s="245">
        <v>1500</v>
      </c>
      <c r="Q31" s="245">
        <v>1078.46</v>
      </c>
      <c r="R31" s="216"/>
      <c r="S31" s="213"/>
      <c r="T31" s="245">
        <v>1500</v>
      </c>
      <c r="U31" s="245">
        <v>591.83000000000004</v>
      </c>
      <c r="V31" s="216"/>
      <c r="W31" s="213"/>
      <c r="X31" s="245">
        <v>1500</v>
      </c>
      <c r="Y31" s="245">
        <v>1920.2</v>
      </c>
      <c r="Z31" s="216">
        <v>0</v>
      </c>
      <c r="AA31" s="213"/>
      <c r="AB31" s="245">
        <v>1500</v>
      </c>
      <c r="AC31" s="245">
        <v>987</v>
      </c>
      <c r="AD31" s="216">
        <f t="shared" si="2"/>
        <v>0</v>
      </c>
      <c r="AE31" s="213"/>
      <c r="AF31" s="245">
        <v>1500</v>
      </c>
      <c r="AG31" s="245">
        <v>1500</v>
      </c>
      <c r="AH31" s="245">
        <v>1535.79</v>
      </c>
      <c r="AI31" s="216">
        <f t="shared" si="0"/>
        <v>0</v>
      </c>
      <c r="AJ31" s="216"/>
      <c r="AK31" s="398">
        <v>1500</v>
      </c>
      <c r="AL31" s="398">
        <v>122.09</v>
      </c>
      <c r="AM31" s="207">
        <f t="shared" ref="AM31:AM41" si="6">(AK31-AG31)/AG31</f>
        <v>0</v>
      </c>
      <c r="AN31" s="397"/>
      <c r="AO31" s="163">
        <v>1500</v>
      </c>
      <c r="AP31" s="398">
        <f t="shared" si="4"/>
        <v>0</v>
      </c>
      <c r="AQ31" s="207">
        <f t="shared" ref="AQ31:AQ41" si="7">(AO31-AK31)/AK31</f>
        <v>0</v>
      </c>
      <c r="AR31" s="288" t="s">
        <v>871</v>
      </c>
    </row>
    <row r="32" spans="1:44" s="211" customFormat="1" x14ac:dyDescent="0.25">
      <c r="A32" s="211" t="s">
        <v>702</v>
      </c>
      <c r="B32" s="214" t="str">
        <f t="shared" si="1"/>
        <v>5531</v>
      </c>
      <c r="C32" s="211" t="s">
        <v>1845</v>
      </c>
      <c r="D32" s="245">
        <v>4000</v>
      </c>
      <c r="E32" s="245">
        <v>2944.37</v>
      </c>
      <c r="F32" s="216"/>
      <c r="G32" s="213"/>
      <c r="H32" s="245">
        <v>4000</v>
      </c>
      <c r="I32" s="245">
        <v>1248.68</v>
      </c>
      <c r="J32" s="216"/>
      <c r="K32" s="213"/>
      <c r="L32" s="245">
        <v>3000</v>
      </c>
      <c r="M32" s="245">
        <v>3138.83</v>
      </c>
      <c r="N32" s="216"/>
      <c r="O32" s="213"/>
      <c r="P32" s="245">
        <v>3000</v>
      </c>
      <c r="Q32" s="245">
        <v>1759.82</v>
      </c>
      <c r="R32" s="216"/>
      <c r="S32" s="213"/>
      <c r="T32" s="245">
        <v>3000</v>
      </c>
      <c r="U32" s="245">
        <v>920.53</v>
      </c>
      <c r="V32" s="216"/>
      <c r="W32" s="213"/>
      <c r="X32" s="245">
        <v>3000</v>
      </c>
      <c r="Y32" s="245">
        <v>3229.02</v>
      </c>
      <c r="Z32" s="216">
        <v>0</v>
      </c>
      <c r="AA32" s="213"/>
      <c r="AB32" s="245">
        <v>3000</v>
      </c>
      <c r="AC32" s="245">
        <v>2358.67</v>
      </c>
      <c r="AD32" s="216">
        <f t="shared" si="2"/>
        <v>0</v>
      </c>
      <c r="AE32" s="213"/>
      <c r="AF32" s="245">
        <v>3000</v>
      </c>
      <c r="AG32" s="245">
        <v>3000</v>
      </c>
      <c r="AH32" s="245">
        <v>693</v>
      </c>
      <c r="AI32" s="216">
        <f t="shared" si="0"/>
        <v>0</v>
      </c>
      <c r="AJ32" s="216"/>
      <c r="AK32" s="398">
        <v>3000</v>
      </c>
      <c r="AL32" s="398">
        <v>339.5</v>
      </c>
      <c r="AM32" s="207">
        <f t="shared" si="6"/>
        <v>0</v>
      </c>
      <c r="AN32" s="397"/>
      <c r="AO32" s="163">
        <v>3000</v>
      </c>
      <c r="AP32" s="398">
        <f t="shared" si="4"/>
        <v>0</v>
      </c>
      <c r="AQ32" s="207">
        <f t="shared" si="7"/>
        <v>0</v>
      </c>
      <c r="AR32" s="288" t="s">
        <v>872</v>
      </c>
    </row>
    <row r="33" spans="1:53" s="211" customFormat="1" x14ac:dyDescent="0.25">
      <c r="A33" s="211" t="s">
        <v>703</v>
      </c>
      <c r="B33" s="214" t="str">
        <f t="shared" si="1"/>
        <v>5532</v>
      </c>
      <c r="C33" s="211" t="s">
        <v>1846</v>
      </c>
      <c r="D33" s="245">
        <v>1000</v>
      </c>
      <c r="E33" s="245">
        <v>1025.22</v>
      </c>
      <c r="F33" s="216"/>
      <c r="G33" s="213"/>
      <c r="H33" s="245">
        <v>1000</v>
      </c>
      <c r="I33" s="245">
        <v>1048</v>
      </c>
      <c r="J33" s="216"/>
      <c r="K33" s="213"/>
      <c r="L33" s="245">
        <v>1000</v>
      </c>
      <c r="M33" s="245">
        <v>519.70000000000005</v>
      </c>
      <c r="N33" s="216"/>
      <c r="O33" s="213"/>
      <c r="P33" s="245">
        <v>1000</v>
      </c>
      <c r="Q33" s="245">
        <v>1003.11</v>
      </c>
      <c r="R33" s="216"/>
      <c r="S33" s="213"/>
      <c r="T33" s="245">
        <v>1000</v>
      </c>
      <c r="U33" s="245">
        <v>794.97</v>
      </c>
      <c r="V33" s="216"/>
      <c r="W33" s="213"/>
      <c r="X33" s="245">
        <v>1000</v>
      </c>
      <c r="Y33" s="245">
        <v>796.44</v>
      </c>
      <c r="Z33" s="216">
        <v>0</v>
      </c>
      <c r="AA33" s="213"/>
      <c r="AB33" s="245">
        <v>1000</v>
      </c>
      <c r="AC33" s="245">
        <v>914.5</v>
      </c>
      <c r="AD33" s="216">
        <f t="shared" si="2"/>
        <v>0</v>
      </c>
      <c r="AE33" s="213"/>
      <c r="AF33" s="245">
        <v>1000</v>
      </c>
      <c r="AG33" s="245">
        <v>1000</v>
      </c>
      <c r="AH33" s="245">
        <v>767.85</v>
      </c>
      <c r="AI33" s="216">
        <f t="shared" si="0"/>
        <v>0</v>
      </c>
      <c r="AJ33" s="216"/>
      <c r="AK33" s="398">
        <v>1000</v>
      </c>
      <c r="AL33" s="398">
        <v>166.35</v>
      </c>
      <c r="AM33" s="207">
        <f t="shared" si="6"/>
        <v>0</v>
      </c>
      <c r="AN33" s="397"/>
      <c r="AO33" s="163">
        <v>1000</v>
      </c>
      <c r="AP33" s="398">
        <f t="shared" si="4"/>
        <v>0</v>
      </c>
      <c r="AQ33" s="207">
        <f t="shared" si="7"/>
        <v>0</v>
      </c>
      <c r="AR33" s="288" t="s">
        <v>873</v>
      </c>
    </row>
    <row r="34" spans="1:53" s="211" customFormat="1" hidden="1" x14ac:dyDescent="0.25">
      <c r="A34" s="211" t="s">
        <v>1328</v>
      </c>
      <c r="B34" s="214" t="str">
        <f t="shared" si="1"/>
        <v>5534</v>
      </c>
      <c r="C34" s="387" t="s">
        <v>1777</v>
      </c>
      <c r="D34" s="245">
        <v>2000</v>
      </c>
      <c r="E34" s="245">
        <v>1041.0999999999999</v>
      </c>
      <c r="F34" s="216"/>
      <c r="G34" s="213"/>
      <c r="H34" s="245">
        <v>2000</v>
      </c>
      <c r="I34" s="245">
        <v>1999.58</v>
      </c>
      <c r="J34" s="216"/>
      <c r="K34" s="213"/>
      <c r="L34" s="245">
        <v>2000</v>
      </c>
      <c r="M34" s="245">
        <v>2000</v>
      </c>
      <c r="N34" s="216"/>
      <c r="O34" s="213"/>
      <c r="P34" s="245">
        <v>2000</v>
      </c>
      <c r="Q34" s="245">
        <v>2200</v>
      </c>
      <c r="R34" s="216"/>
      <c r="S34" s="213"/>
      <c r="T34" s="245">
        <v>2200</v>
      </c>
      <c r="U34" s="245">
        <v>2000</v>
      </c>
      <c r="V34" s="216"/>
      <c r="W34" s="213"/>
      <c r="X34" s="245">
        <v>2200</v>
      </c>
      <c r="Y34" s="245">
        <v>3632.5</v>
      </c>
      <c r="Z34" s="216">
        <v>0</v>
      </c>
      <c r="AA34" s="213"/>
      <c r="AB34" s="245">
        <v>2200</v>
      </c>
      <c r="AC34" s="245">
        <v>0</v>
      </c>
      <c r="AD34" s="216">
        <f t="shared" si="2"/>
        <v>0</v>
      </c>
      <c r="AE34" s="213"/>
      <c r="AF34" s="245">
        <v>0</v>
      </c>
      <c r="AG34" s="245">
        <v>0</v>
      </c>
      <c r="AH34" s="245"/>
      <c r="AI34" s="216"/>
      <c r="AJ34" s="216"/>
      <c r="AK34" s="398">
        <v>0</v>
      </c>
      <c r="AL34" s="398"/>
      <c r="AM34" s="207" t="e">
        <f t="shared" si="6"/>
        <v>#DIV/0!</v>
      </c>
      <c r="AN34" s="397"/>
      <c r="AO34" s="163">
        <v>0</v>
      </c>
      <c r="AP34" s="398">
        <f t="shared" si="4"/>
        <v>0</v>
      </c>
      <c r="AQ34" s="207" t="e">
        <f t="shared" si="7"/>
        <v>#DIV/0!</v>
      </c>
      <c r="AR34" s="101" t="s">
        <v>1439</v>
      </c>
    </row>
    <row r="35" spans="1:53" s="211" customFormat="1" x14ac:dyDescent="0.25">
      <c r="A35" s="211" t="s">
        <v>704</v>
      </c>
      <c r="B35" s="214" t="str">
        <f t="shared" ref="B35:B41" si="8">MID(A35,14,4)</f>
        <v>5585</v>
      </c>
      <c r="C35" s="211" t="s">
        <v>1684</v>
      </c>
      <c r="D35" s="245">
        <v>500</v>
      </c>
      <c r="E35" s="245">
        <v>254.87</v>
      </c>
      <c r="F35" s="216"/>
      <c r="G35" s="213"/>
      <c r="H35" s="245">
        <v>500</v>
      </c>
      <c r="I35" s="245">
        <v>95.13</v>
      </c>
      <c r="J35" s="216"/>
      <c r="K35" s="213"/>
      <c r="L35" s="245">
        <v>400</v>
      </c>
      <c r="M35" s="245">
        <v>227.25</v>
      </c>
      <c r="N35" s="216"/>
      <c r="O35" s="213"/>
      <c r="P35" s="245">
        <v>400</v>
      </c>
      <c r="Q35" s="245">
        <v>103.75</v>
      </c>
      <c r="R35" s="216"/>
      <c r="S35" s="213"/>
      <c r="T35" s="245">
        <v>400</v>
      </c>
      <c r="U35" s="245">
        <v>0</v>
      </c>
      <c r="V35" s="216"/>
      <c r="W35" s="213"/>
      <c r="X35" s="245">
        <v>400</v>
      </c>
      <c r="Y35" s="245">
        <v>157.96</v>
      </c>
      <c r="Z35" s="216">
        <v>0</v>
      </c>
      <c r="AA35" s="213"/>
      <c r="AB35" s="245">
        <v>400</v>
      </c>
      <c r="AC35" s="245">
        <v>161.30000000000001</v>
      </c>
      <c r="AD35" s="216">
        <f t="shared" si="2"/>
        <v>0</v>
      </c>
      <c r="AE35" s="213"/>
      <c r="AF35" s="245">
        <v>400</v>
      </c>
      <c r="AG35" s="245">
        <v>400</v>
      </c>
      <c r="AH35" s="245">
        <v>251.92</v>
      </c>
      <c r="AI35" s="216">
        <f t="shared" si="0"/>
        <v>0</v>
      </c>
      <c r="AJ35" s="216"/>
      <c r="AK35" s="398">
        <v>400</v>
      </c>
      <c r="AL35" s="398">
        <v>143.84</v>
      </c>
      <c r="AM35" s="207">
        <f t="shared" si="6"/>
        <v>0</v>
      </c>
      <c r="AN35" s="397"/>
      <c r="AO35" s="163">
        <v>300</v>
      </c>
      <c r="AP35" s="398">
        <f t="shared" si="4"/>
        <v>-100</v>
      </c>
      <c r="AQ35" s="207">
        <f t="shared" si="7"/>
        <v>-0.25</v>
      </c>
      <c r="AR35" s="288" t="s">
        <v>874</v>
      </c>
    </row>
    <row r="36" spans="1:53" s="211" customFormat="1" x14ac:dyDescent="0.25">
      <c r="A36" s="211" t="s">
        <v>705</v>
      </c>
      <c r="B36" s="214" t="str">
        <f t="shared" si="8"/>
        <v>5595</v>
      </c>
      <c r="C36" s="211" t="s">
        <v>1654</v>
      </c>
      <c r="D36" s="245">
        <v>0</v>
      </c>
      <c r="E36" s="245">
        <v>0</v>
      </c>
      <c r="F36" s="216"/>
      <c r="G36" s="213"/>
      <c r="H36" s="245">
        <v>0</v>
      </c>
      <c r="I36" s="245">
        <v>94</v>
      </c>
      <c r="J36" s="216"/>
      <c r="K36" s="213"/>
      <c r="L36" s="245">
        <v>100</v>
      </c>
      <c r="M36" s="245">
        <v>94</v>
      </c>
      <c r="N36" s="216"/>
      <c r="O36" s="213"/>
      <c r="P36" s="245">
        <v>100</v>
      </c>
      <c r="Q36" s="245">
        <v>93</v>
      </c>
      <c r="R36" s="216"/>
      <c r="S36" s="213"/>
      <c r="T36" s="245">
        <v>100</v>
      </c>
      <c r="U36" s="245">
        <v>132.25</v>
      </c>
      <c r="V36" s="216"/>
      <c r="W36" s="213"/>
      <c r="X36" s="245">
        <v>100</v>
      </c>
      <c r="Y36" s="245">
        <v>101.49</v>
      </c>
      <c r="Z36" s="216">
        <v>0</v>
      </c>
      <c r="AA36" s="213"/>
      <c r="AB36" s="245">
        <v>100</v>
      </c>
      <c r="AC36" s="245">
        <v>85.45</v>
      </c>
      <c r="AD36" s="216">
        <f t="shared" si="2"/>
        <v>0</v>
      </c>
      <c r="AE36" s="213"/>
      <c r="AF36" s="245">
        <v>100</v>
      </c>
      <c r="AG36" s="245">
        <v>100</v>
      </c>
      <c r="AH36" s="245">
        <v>79.7</v>
      </c>
      <c r="AI36" s="216">
        <f t="shared" si="0"/>
        <v>0</v>
      </c>
      <c r="AJ36" s="216"/>
      <c r="AK36" s="398">
        <v>100</v>
      </c>
      <c r="AL36" s="398">
        <v>92.54</v>
      </c>
      <c r="AM36" s="207">
        <f t="shared" si="6"/>
        <v>0</v>
      </c>
      <c r="AN36" s="397"/>
      <c r="AO36" s="163">
        <v>100</v>
      </c>
      <c r="AP36" s="398">
        <f t="shared" si="4"/>
        <v>0</v>
      </c>
      <c r="AQ36" s="207">
        <f t="shared" si="7"/>
        <v>0</v>
      </c>
      <c r="AR36" s="288"/>
    </row>
    <row r="37" spans="1:53" s="211" customFormat="1" x14ac:dyDescent="0.25">
      <c r="A37" s="211" t="s">
        <v>706</v>
      </c>
      <c r="B37" s="214" t="str">
        <f t="shared" si="8"/>
        <v>5710</v>
      </c>
      <c r="C37" s="211" t="s">
        <v>1605</v>
      </c>
      <c r="D37" s="245">
        <v>340</v>
      </c>
      <c r="E37" s="245">
        <v>221.5</v>
      </c>
      <c r="F37" s="216"/>
      <c r="G37" s="213"/>
      <c r="H37" s="245">
        <v>340</v>
      </c>
      <c r="I37" s="245">
        <v>0</v>
      </c>
      <c r="J37" s="216"/>
      <c r="K37" s="213"/>
      <c r="L37" s="245">
        <v>340</v>
      </c>
      <c r="M37" s="245">
        <v>0</v>
      </c>
      <c r="N37" s="216"/>
      <c r="O37" s="213"/>
      <c r="P37" s="245">
        <v>340</v>
      </c>
      <c r="Q37" s="245">
        <v>0</v>
      </c>
      <c r="R37" s="216"/>
      <c r="S37" s="213"/>
      <c r="T37" s="245">
        <v>340</v>
      </c>
      <c r="U37" s="245">
        <v>0</v>
      </c>
      <c r="V37" s="216"/>
      <c r="W37" s="213"/>
      <c r="X37" s="245">
        <v>340</v>
      </c>
      <c r="Y37" s="245">
        <v>9</v>
      </c>
      <c r="Z37" s="216">
        <v>0</v>
      </c>
      <c r="AA37" s="213"/>
      <c r="AB37" s="245">
        <v>340</v>
      </c>
      <c r="AC37" s="245">
        <v>69.75</v>
      </c>
      <c r="AD37" s="216">
        <f t="shared" si="2"/>
        <v>0</v>
      </c>
      <c r="AE37" s="213"/>
      <c r="AF37" s="245">
        <v>340</v>
      </c>
      <c r="AG37" s="245">
        <v>340</v>
      </c>
      <c r="AH37" s="245">
        <v>343</v>
      </c>
      <c r="AI37" s="216">
        <f t="shared" si="0"/>
        <v>0</v>
      </c>
      <c r="AJ37" s="216"/>
      <c r="AK37" s="398">
        <v>340</v>
      </c>
      <c r="AL37" s="398">
        <v>124.5</v>
      </c>
      <c r="AM37" s="207">
        <f t="shared" si="6"/>
        <v>0</v>
      </c>
      <c r="AN37" s="397"/>
      <c r="AO37" s="163">
        <v>340</v>
      </c>
      <c r="AP37" s="398">
        <f t="shared" si="4"/>
        <v>0</v>
      </c>
      <c r="AQ37" s="207">
        <f t="shared" si="7"/>
        <v>0</v>
      </c>
      <c r="AR37" s="288" t="s">
        <v>875</v>
      </c>
    </row>
    <row r="38" spans="1:53" s="394" customFormat="1" x14ac:dyDescent="0.25">
      <c r="A38" s="395" t="s">
        <v>1970</v>
      </c>
      <c r="B38" s="395" t="str">
        <f t="shared" si="8"/>
        <v>5711</v>
      </c>
      <c r="C38" s="394" t="s">
        <v>1606</v>
      </c>
      <c r="D38" s="398"/>
      <c r="E38" s="398"/>
      <c r="F38" s="396"/>
      <c r="G38" s="397"/>
      <c r="H38" s="398"/>
      <c r="I38" s="398"/>
      <c r="J38" s="396"/>
      <c r="K38" s="397"/>
      <c r="L38" s="398"/>
      <c r="M38" s="398"/>
      <c r="N38" s="396"/>
      <c r="O38" s="397"/>
      <c r="P38" s="398"/>
      <c r="Q38" s="398"/>
      <c r="R38" s="396"/>
      <c r="S38" s="397"/>
      <c r="T38" s="398"/>
      <c r="U38" s="398"/>
      <c r="V38" s="396"/>
      <c r="W38" s="397"/>
      <c r="X38" s="398"/>
      <c r="Y38" s="398"/>
      <c r="Z38" s="396"/>
      <c r="AA38" s="397"/>
      <c r="AB38" s="398"/>
      <c r="AC38" s="398"/>
      <c r="AD38" s="396"/>
      <c r="AE38" s="397"/>
      <c r="AF38" s="398"/>
      <c r="AG38" s="398"/>
      <c r="AH38" s="398"/>
      <c r="AI38" s="396"/>
      <c r="AJ38" s="396"/>
      <c r="AK38" s="398"/>
      <c r="AL38" s="398">
        <v>278.5</v>
      </c>
      <c r="AM38" s="207"/>
      <c r="AN38" s="397"/>
      <c r="AO38" s="163"/>
      <c r="AP38" s="398"/>
      <c r="AQ38" s="207"/>
      <c r="AR38" s="400"/>
    </row>
    <row r="39" spans="1:53" s="211" customFormat="1" x14ac:dyDescent="0.25">
      <c r="A39" s="211" t="s">
        <v>707</v>
      </c>
      <c r="B39" s="214" t="str">
        <f t="shared" si="8"/>
        <v>5730</v>
      </c>
      <c r="C39" s="211" t="s">
        <v>1594</v>
      </c>
      <c r="D39" s="245">
        <v>50</v>
      </c>
      <c r="E39" s="245">
        <v>50</v>
      </c>
      <c r="F39" s="216"/>
      <c r="G39" s="213"/>
      <c r="H39" s="245">
        <v>50</v>
      </c>
      <c r="I39" s="245">
        <v>60</v>
      </c>
      <c r="J39" s="216"/>
      <c r="K39" s="213"/>
      <c r="L39" s="245">
        <v>50</v>
      </c>
      <c r="M39" s="245">
        <v>60</v>
      </c>
      <c r="N39" s="216"/>
      <c r="O39" s="213"/>
      <c r="P39" s="245">
        <v>50</v>
      </c>
      <c r="Q39" s="245">
        <v>80</v>
      </c>
      <c r="R39" s="216"/>
      <c r="S39" s="213"/>
      <c r="T39" s="245">
        <v>50</v>
      </c>
      <c r="U39" s="245">
        <v>80</v>
      </c>
      <c r="V39" s="216"/>
      <c r="W39" s="213"/>
      <c r="X39" s="245">
        <v>80</v>
      </c>
      <c r="Y39" s="245">
        <v>80</v>
      </c>
      <c r="Z39" s="216">
        <v>0.6</v>
      </c>
      <c r="AA39" s="213"/>
      <c r="AB39" s="245">
        <v>80</v>
      </c>
      <c r="AC39" s="245">
        <v>80</v>
      </c>
      <c r="AD39" s="216">
        <f t="shared" si="2"/>
        <v>0</v>
      </c>
      <c r="AE39" s="213"/>
      <c r="AF39" s="245">
        <v>80</v>
      </c>
      <c r="AG39" s="245">
        <v>80</v>
      </c>
      <c r="AH39" s="245">
        <v>80</v>
      </c>
      <c r="AI39" s="216">
        <f t="shared" si="0"/>
        <v>0</v>
      </c>
      <c r="AJ39" s="216"/>
      <c r="AK39" s="398">
        <v>80</v>
      </c>
      <c r="AL39" s="398">
        <v>0</v>
      </c>
      <c r="AM39" s="207">
        <f t="shared" si="6"/>
        <v>0</v>
      </c>
      <c r="AN39" s="397"/>
      <c r="AO39" s="163">
        <v>80</v>
      </c>
      <c r="AP39" s="398">
        <f t="shared" si="4"/>
        <v>0</v>
      </c>
      <c r="AQ39" s="207">
        <f t="shared" si="7"/>
        <v>0</v>
      </c>
      <c r="AR39" s="288" t="s">
        <v>877</v>
      </c>
    </row>
    <row r="40" spans="1:53" s="211" customFormat="1" x14ac:dyDescent="0.25">
      <c r="A40" s="211" t="s">
        <v>708</v>
      </c>
      <c r="B40" s="214" t="str">
        <f t="shared" si="8"/>
        <v>5780</v>
      </c>
      <c r="C40" s="211" t="s">
        <v>1847</v>
      </c>
      <c r="D40" s="245">
        <v>0</v>
      </c>
      <c r="E40" s="245">
        <v>119.4</v>
      </c>
      <c r="F40" s="216"/>
      <c r="G40" s="213"/>
      <c r="H40" s="245">
        <v>500</v>
      </c>
      <c r="I40" s="245">
        <v>168</v>
      </c>
      <c r="J40" s="216"/>
      <c r="K40" s="213"/>
      <c r="L40" s="245">
        <v>500</v>
      </c>
      <c r="M40" s="245">
        <v>168</v>
      </c>
      <c r="N40" s="216"/>
      <c r="O40" s="213"/>
      <c r="P40" s="245">
        <v>500</v>
      </c>
      <c r="Q40" s="245">
        <v>-168</v>
      </c>
      <c r="R40" s="216"/>
      <c r="S40" s="213"/>
      <c r="T40" s="245">
        <v>500</v>
      </c>
      <c r="U40" s="245">
        <v>212.96</v>
      </c>
      <c r="V40" s="216"/>
      <c r="W40" s="213"/>
      <c r="X40" s="245">
        <v>470</v>
      </c>
      <c r="Y40" s="245">
        <v>514.29</v>
      </c>
      <c r="Z40" s="216">
        <v>-0.06</v>
      </c>
      <c r="AA40" s="213"/>
      <c r="AB40" s="245">
        <v>470</v>
      </c>
      <c r="AC40" s="245">
        <v>660</v>
      </c>
      <c r="AD40" s="216">
        <f t="shared" si="2"/>
        <v>0</v>
      </c>
      <c r="AE40" s="213"/>
      <c r="AF40" s="245">
        <v>2160</v>
      </c>
      <c r="AG40" s="245">
        <v>2160</v>
      </c>
      <c r="AH40" s="245">
        <v>1764.32</v>
      </c>
      <c r="AI40" s="216">
        <f t="shared" si="0"/>
        <v>3.5957446808510638</v>
      </c>
      <c r="AJ40" s="216"/>
      <c r="AK40" s="398">
        <v>3000</v>
      </c>
      <c r="AL40" s="398">
        <v>1280</v>
      </c>
      <c r="AM40" s="207">
        <f t="shared" si="6"/>
        <v>0.3888888888888889</v>
      </c>
      <c r="AN40" s="397"/>
      <c r="AO40" s="163">
        <v>3000</v>
      </c>
      <c r="AP40" s="398">
        <f t="shared" si="4"/>
        <v>0</v>
      </c>
      <c r="AQ40" s="207">
        <f t="shared" si="7"/>
        <v>0</v>
      </c>
      <c r="AR40" s="288" t="s">
        <v>1273</v>
      </c>
    </row>
    <row r="41" spans="1:53" x14ac:dyDescent="0.25">
      <c r="A41" s="161" t="s">
        <v>709</v>
      </c>
      <c r="B41" s="119" t="str">
        <f t="shared" si="8"/>
        <v>5850</v>
      </c>
      <c r="C41" s="161" t="s">
        <v>1674</v>
      </c>
      <c r="D41" s="245">
        <v>2500</v>
      </c>
      <c r="E41" s="245">
        <v>477.54</v>
      </c>
      <c r="F41" s="216"/>
      <c r="H41" s="245">
        <v>1500</v>
      </c>
      <c r="I41" s="245">
        <v>908</v>
      </c>
      <c r="J41" s="216"/>
      <c r="L41" s="245">
        <v>1500</v>
      </c>
      <c r="M41" s="245">
        <v>510</v>
      </c>
      <c r="N41" s="216"/>
      <c r="P41" s="245">
        <v>1500</v>
      </c>
      <c r="Q41" s="245">
        <v>395.6</v>
      </c>
      <c r="R41" s="216"/>
      <c r="T41" s="245">
        <v>1500</v>
      </c>
      <c r="U41" s="245">
        <v>495.95</v>
      </c>
      <c r="V41" s="216"/>
      <c r="W41" s="213"/>
      <c r="X41" s="245">
        <v>1500</v>
      </c>
      <c r="Y41" s="245">
        <v>905.8</v>
      </c>
      <c r="Z41" s="216">
        <v>0</v>
      </c>
      <c r="AA41" s="213"/>
      <c r="AB41" s="245">
        <v>1500</v>
      </c>
      <c r="AC41" s="245">
        <v>1256.72</v>
      </c>
      <c r="AD41" s="216">
        <f t="shared" si="2"/>
        <v>0</v>
      </c>
      <c r="AF41" s="245">
        <v>1500</v>
      </c>
      <c r="AG41" s="245">
        <v>1500</v>
      </c>
      <c r="AH41" s="245">
        <v>1259.8699999999999</v>
      </c>
      <c r="AI41" s="216">
        <f t="shared" si="0"/>
        <v>0</v>
      </c>
      <c r="AJ41" s="80"/>
      <c r="AK41" s="398">
        <v>1500</v>
      </c>
      <c r="AL41" s="398">
        <v>1259.3800000000001</v>
      </c>
      <c r="AM41" s="207">
        <f t="shared" si="6"/>
        <v>0</v>
      </c>
      <c r="AO41" s="163">
        <v>2500</v>
      </c>
      <c r="AP41" s="398">
        <f t="shared" si="4"/>
        <v>1000</v>
      </c>
      <c r="AQ41" s="207">
        <f t="shared" si="7"/>
        <v>0.66666666666666663</v>
      </c>
      <c r="AR41" s="166" t="s">
        <v>876</v>
      </c>
    </row>
    <row r="42" spans="1:53" s="114" customFormat="1" x14ac:dyDescent="0.25">
      <c r="A42" s="219"/>
      <c r="B42" s="219"/>
      <c r="C42" s="219" t="s">
        <v>279</v>
      </c>
      <c r="D42" s="220">
        <f>SUM(D13:D41)</f>
        <v>81500.61</v>
      </c>
      <c r="E42" s="220">
        <f>SUM(E13:E41)</f>
        <v>79373.769999999975</v>
      </c>
      <c r="F42" s="221">
        <v>-2.46E-2</v>
      </c>
      <c r="G42" s="219"/>
      <c r="H42" s="220">
        <f>SUM(H13:H41)</f>
        <v>81190</v>
      </c>
      <c r="I42" s="220">
        <f>SUM(I13:I41)</f>
        <v>77544.570000000007</v>
      </c>
      <c r="J42" s="221">
        <v>-2.46E-2</v>
      </c>
      <c r="K42" s="219"/>
      <c r="L42" s="220">
        <f>SUM(L13:L41)</f>
        <v>79190</v>
      </c>
      <c r="M42" s="220">
        <f>SUM(M13:M41)</f>
        <v>76215.35000000002</v>
      </c>
      <c r="N42" s="221">
        <v>-2.46E-2</v>
      </c>
      <c r="O42" s="219"/>
      <c r="P42" s="220">
        <f>SUM(P13:P41)</f>
        <v>89190</v>
      </c>
      <c r="Q42" s="220">
        <f>SUM(Q13:Q41)</f>
        <v>79205.560000000027</v>
      </c>
      <c r="R42" s="221">
        <v>-2.46E-2</v>
      </c>
      <c r="S42" s="219"/>
      <c r="T42" s="220">
        <f>SUM(T13:T41)</f>
        <v>90390</v>
      </c>
      <c r="U42" s="220">
        <f>SUM(U13:U41)</f>
        <v>86983.46</v>
      </c>
      <c r="V42" s="221">
        <v>-2.46E-2</v>
      </c>
      <c r="W42" s="219"/>
      <c r="X42" s="220">
        <f>SUM(X13:X41)</f>
        <v>90390</v>
      </c>
      <c r="Y42" s="220">
        <f>SUM(Y13:Y41)</f>
        <v>85998.46</v>
      </c>
      <c r="Z42" s="222">
        <f>(X42-T42)/T42</f>
        <v>0</v>
      </c>
      <c r="AA42" s="219"/>
      <c r="AB42" s="220">
        <f>SUM(AB13:AB41)</f>
        <v>90634</v>
      </c>
      <c r="AC42" s="220">
        <f>SUM(AC13:AC41)</f>
        <v>60896.659999999996</v>
      </c>
      <c r="AD42" s="221">
        <f>(AB42-X42)/X42</f>
        <v>2.6994136519526498E-3</v>
      </c>
      <c r="AE42" s="219"/>
      <c r="AF42" s="220">
        <f>SUM(AF13:AF41)</f>
        <v>86224</v>
      </c>
      <c r="AG42" s="220">
        <f>SUM(AG13:AG41)</f>
        <v>86224</v>
      </c>
      <c r="AH42" s="220">
        <f>SUM(AH13:AH41)</f>
        <v>68728.31</v>
      </c>
      <c r="AI42" s="221">
        <f t="shared" si="0"/>
        <v>-4.8657236798552418E-2</v>
      </c>
      <c r="AJ42" s="221"/>
      <c r="AK42" s="401">
        <f>SUM(AK13:AK41)</f>
        <v>83664</v>
      </c>
      <c r="AL42" s="401">
        <f>SUM(AL13:AL41)</f>
        <v>21301.620000000003</v>
      </c>
      <c r="AM42" s="453">
        <f>(AK42-AG42)/AG42</f>
        <v>-2.9690109482278716E-2</v>
      </c>
      <c r="AN42" s="219"/>
      <c r="AO42" s="223">
        <f>SUM(AO13:AO41)</f>
        <v>87064</v>
      </c>
      <c r="AP42" s="223">
        <f>SUM(AP13:AP41)</f>
        <v>3400</v>
      </c>
      <c r="AQ42" s="453">
        <f>(AO42-AK42)/AK42</f>
        <v>4.0638745458022568E-2</v>
      </c>
      <c r="AR42" s="219"/>
    </row>
    <row r="43" spans="1:53" s="211" customFormat="1" x14ac:dyDescent="0.25">
      <c r="D43" s="112"/>
      <c r="E43" s="112"/>
      <c r="F43" s="216"/>
      <c r="G43" s="213"/>
      <c r="H43" s="112"/>
      <c r="I43" s="112"/>
      <c r="J43" s="216"/>
      <c r="K43" s="213"/>
      <c r="L43" s="112"/>
      <c r="M43" s="112"/>
      <c r="N43" s="216"/>
      <c r="O43" s="213"/>
      <c r="P43" s="112"/>
      <c r="Q43" s="112"/>
      <c r="R43" s="216"/>
      <c r="S43" s="213"/>
      <c r="T43" s="112"/>
      <c r="U43" s="112"/>
      <c r="V43" s="216"/>
      <c r="W43" s="213"/>
      <c r="X43" s="112"/>
      <c r="Y43" s="112"/>
      <c r="Z43" s="216"/>
      <c r="AA43" s="213"/>
      <c r="AB43" s="112"/>
      <c r="AC43" s="112"/>
      <c r="AD43" s="216"/>
      <c r="AE43" s="213"/>
      <c r="AF43" s="112"/>
      <c r="AG43" s="112"/>
      <c r="AH43" s="112"/>
      <c r="AI43" s="216"/>
      <c r="AJ43" s="216"/>
      <c r="AK43" s="112"/>
      <c r="AL43" s="112"/>
      <c r="AM43" s="207"/>
      <c r="AN43" s="397"/>
      <c r="AO43" s="212"/>
      <c r="AP43" s="112"/>
      <c r="AQ43" s="207"/>
    </row>
    <row r="44" spans="1:53" s="114" customFormat="1" ht="12.75" x14ac:dyDescent="0.2">
      <c r="A44" s="228"/>
      <c r="B44" s="228"/>
      <c r="C44" s="233" t="s">
        <v>280</v>
      </c>
      <c r="D44" s="230">
        <f>D10+D42</f>
        <v>144018</v>
      </c>
      <c r="E44" s="230">
        <f>E10+E42</f>
        <v>141891.15999999997</v>
      </c>
      <c r="F44" s="231">
        <v>1.09E-2</v>
      </c>
      <c r="G44" s="228"/>
      <c r="H44" s="230">
        <f>H10+H42</f>
        <v>144846</v>
      </c>
      <c r="I44" s="230">
        <f>I10+I42</f>
        <v>144498.78</v>
      </c>
      <c r="J44" s="231">
        <v>1.09E-2</v>
      </c>
      <c r="K44" s="228"/>
      <c r="L44" s="230">
        <f>L10+L42</f>
        <v>146427.67000000001</v>
      </c>
      <c r="M44" s="230">
        <f>M10+M42</f>
        <v>142414.61000000004</v>
      </c>
      <c r="N44" s="231">
        <v>1.09E-2</v>
      </c>
      <c r="O44" s="228"/>
      <c r="P44" s="230">
        <f>P10+P42</f>
        <v>157724.63</v>
      </c>
      <c r="Q44" s="230">
        <f>Q10+Q42</f>
        <v>150631.75000000003</v>
      </c>
      <c r="R44" s="231">
        <v>1.09E-2</v>
      </c>
      <c r="S44" s="228"/>
      <c r="T44" s="230">
        <f>T10+T42</f>
        <v>160320.57</v>
      </c>
      <c r="U44" s="230">
        <f>U10+U42</f>
        <v>151535.12</v>
      </c>
      <c r="V44" s="231">
        <v>1.09E-2</v>
      </c>
      <c r="W44" s="228"/>
      <c r="X44" s="230">
        <f>X10+X42</f>
        <v>161274.6</v>
      </c>
      <c r="Y44" s="230">
        <f>Y10+Y42</f>
        <v>156939.81</v>
      </c>
      <c r="Z44" s="231">
        <f>(X44-T44)/T44</f>
        <v>5.9507647708587786E-3</v>
      </c>
      <c r="AA44" s="228"/>
      <c r="AB44" s="230">
        <f>AB10+AB42</f>
        <v>161874.37</v>
      </c>
      <c r="AC44" s="230">
        <f>AC10+AC42</f>
        <v>137940.73000000001</v>
      </c>
      <c r="AD44" s="231">
        <f>(AB44-X44)/X44</f>
        <v>3.718936521932093E-3</v>
      </c>
      <c r="AE44" s="228"/>
      <c r="AF44" s="230">
        <f>AF10+AF42</f>
        <v>175039.4</v>
      </c>
      <c r="AG44" s="382">
        <f>AG10+AG42</f>
        <v>180295.84</v>
      </c>
      <c r="AH44" s="230">
        <f>AH10+AH42</f>
        <v>149575.1</v>
      </c>
      <c r="AI44" s="231">
        <f t="shared" si="0"/>
        <v>0.11380102977389195</v>
      </c>
      <c r="AJ44" s="231"/>
      <c r="AK44" s="402">
        <f>AK10+AK42</f>
        <v>179938.89</v>
      </c>
      <c r="AL44" s="402">
        <f>AL10+AL42</f>
        <v>73476.950000000012</v>
      </c>
      <c r="AM44" s="454">
        <f>(AK44-AG44)/AG44</f>
        <v>-1.9798016415685606E-3</v>
      </c>
      <c r="AN44" s="228"/>
      <c r="AO44" s="232">
        <f>AO10+AO42</f>
        <v>211419.56400000001</v>
      </c>
      <c r="AP44" s="232">
        <f>AP10+AP42</f>
        <v>31480.674000000003</v>
      </c>
      <c r="AQ44" s="454">
        <f>(AO44-AK44)/AK44</f>
        <v>0.17495202954736463</v>
      </c>
      <c r="AR44" s="233"/>
    </row>
    <row r="45" spans="1:53" x14ac:dyDescent="0.25">
      <c r="AP45" s="212"/>
      <c r="AQ45" s="211"/>
    </row>
    <row r="46" spans="1:53" s="111" customFormat="1" thickBot="1" x14ac:dyDescent="0.25">
      <c r="C46" s="111" t="s">
        <v>281</v>
      </c>
      <c r="E46" s="121">
        <f>D44-E44</f>
        <v>2126.8400000000256</v>
      </c>
      <c r="G46" s="118"/>
      <c r="I46" s="121">
        <f>H44-I44</f>
        <v>347.22000000000116</v>
      </c>
      <c r="K46" s="118"/>
      <c r="M46" s="121">
        <f>L44-M44</f>
        <v>4013.0599999999686</v>
      </c>
      <c r="O46" s="118"/>
      <c r="Q46" s="121">
        <f>P44-Q44</f>
        <v>7092.8799999999756</v>
      </c>
      <c r="S46" s="118"/>
      <c r="U46" s="121">
        <f>T44-U44</f>
        <v>8785.4500000000116</v>
      </c>
      <c r="W46" s="118"/>
      <c r="Y46" s="121">
        <f>X44-Y44</f>
        <v>4334.7900000000081</v>
      </c>
      <c r="AA46" s="118"/>
      <c r="AC46" s="121">
        <f>AB44-AC44</f>
        <v>23933.639999999985</v>
      </c>
      <c r="AE46" s="118"/>
      <c r="AH46" s="121">
        <f>AG44-AH44</f>
        <v>30720.739999999991</v>
      </c>
      <c r="AL46" s="121">
        <f>AK44-AL44</f>
        <v>106461.94</v>
      </c>
      <c r="AM46" s="124"/>
      <c r="AN46" s="118"/>
    </row>
    <row r="47" spans="1:53" s="111" customFormat="1" ht="14.25" thickTop="1" x14ac:dyDescent="0.25">
      <c r="G47" s="118"/>
      <c r="K47" s="118"/>
      <c r="O47" s="118"/>
      <c r="S47" s="118"/>
      <c r="W47" s="118"/>
      <c r="AA47" s="118"/>
      <c r="AE47" s="118"/>
      <c r="AM47" s="124"/>
      <c r="AN47" s="118"/>
      <c r="AO47" s="240" t="s">
        <v>1195</v>
      </c>
      <c r="AP47" s="241"/>
      <c r="AQ47" s="242"/>
      <c r="AR47" s="211"/>
      <c r="AW47" s="211"/>
      <c r="AX47" s="211"/>
      <c r="AY47" s="211"/>
      <c r="AZ47" s="211"/>
      <c r="BA47" s="211"/>
    </row>
    <row r="48" spans="1:53" x14ac:dyDescent="0.25">
      <c r="C48" s="136"/>
      <c r="Y48" s="126"/>
      <c r="AC48" s="126"/>
      <c r="AH48" s="126"/>
      <c r="AL48" s="126"/>
      <c r="AO48" s="243" t="s">
        <v>313</v>
      </c>
      <c r="AP48" s="5"/>
      <c r="AQ48" s="299">
        <f>AO10*0.0145</f>
        <v>1803.1556780000001</v>
      </c>
      <c r="AR48" s="211"/>
      <c r="AS48" s="211"/>
      <c r="AT48" s="211"/>
      <c r="AU48" s="211"/>
      <c r="AV48" s="211"/>
      <c r="AW48" s="211"/>
      <c r="AX48" s="211"/>
      <c r="AY48" s="211"/>
      <c r="AZ48" s="211"/>
      <c r="BA48" s="211"/>
    </row>
    <row r="49" spans="1:53" x14ac:dyDescent="0.25">
      <c r="A49" s="119"/>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455"/>
      <c r="AN49" s="136"/>
      <c r="AO49" s="210" t="s">
        <v>314</v>
      </c>
      <c r="AP49" s="5"/>
      <c r="AQ49" s="299">
        <f>AO10*0.0009</f>
        <v>111.92000759999999</v>
      </c>
      <c r="AR49" s="211"/>
      <c r="AS49" s="213"/>
      <c r="AT49" s="213"/>
      <c r="AU49" s="213"/>
      <c r="AV49" s="213"/>
      <c r="AW49" s="211"/>
      <c r="AX49" s="211"/>
      <c r="AY49" s="211"/>
      <c r="AZ49" s="211"/>
      <c r="BA49" s="211"/>
    </row>
    <row r="50" spans="1:53" x14ac:dyDescent="0.25">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455"/>
      <c r="AN50" s="136"/>
      <c r="AO50" s="210" t="s">
        <v>315</v>
      </c>
      <c r="AP50" s="5"/>
      <c r="AQ50" s="299">
        <f>AO10*0.003</f>
        <v>373.06669199999999</v>
      </c>
      <c r="AR50" s="211"/>
      <c r="AS50" s="211"/>
      <c r="AT50" s="211"/>
      <c r="AU50" s="211"/>
      <c r="AV50" s="211"/>
      <c r="AW50" s="211"/>
      <c r="AX50" s="211"/>
      <c r="AY50" s="211"/>
      <c r="AZ50" s="211"/>
      <c r="BA50" s="211"/>
    </row>
    <row r="51" spans="1:53" x14ac:dyDescent="0.25">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455"/>
      <c r="AN51" s="136"/>
      <c r="AO51" s="210" t="s">
        <v>316</v>
      </c>
      <c r="AP51" s="5"/>
      <c r="AQ51" s="299">
        <f>'County Retirement'!G25</f>
        <v>11533.839429568001</v>
      </c>
      <c r="AR51" s="211"/>
      <c r="AS51" s="147"/>
      <c r="AT51" s="147"/>
      <c r="AU51" s="147"/>
      <c r="AV51" s="147"/>
      <c r="AW51" s="211"/>
      <c r="AX51" s="211"/>
      <c r="AY51" s="211"/>
      <c r="AZ51" s="211"/>
      <c r="BA51" s="211"/>
    </row>
    <row r="52" spans="1:53" x14ac:dyDescent="0.25">
      <c r="D52" s="120"/>
      <c r="H52" s="120"/>
      <c r="L52" s="120"/>
      <c r="P52" s="120"/>
      <c r="T52" s="120"/>
      <c r="X52" s="120"/>
      <c r="AB52" s="120"/>
      <c r="AF52" s="120"/>
      <c r="AG52" s="120"/>
      <c r="AK52" s="403"/>
      <c r="AO52" s="210" t="s">
        <v>317</v>
      </c>
      <c r="AP52" s="5"/>
      <c r="AQ52" s="300">
        <f>'Health Ins'!L31</f>
        <v>25272</v>
      </c>
      <c r="AR52" s="211"/>
      <c r="AS52" s="211"/>
      <c r="AT52" s="211"/>
      <c r="AU52" s="211"/>
      <c r="AV52" s="211"/>
      <c r="AW52" s="211"/>
      <c r="AX52" s="211"/>
      <c r="AY52" s="211"/>
      <c r="AZ52" s="211"/>
      <c r="BA52" s="211"/>
    </row>
    <row r="53" spans="1:53" x14ac:dyDescent="0.25">
      <c r="D53" s="120"/>
      <c r="H53" s="120"/>
      <c r="L53" s="120"/>
      <c r="P53" s="120"/>
      <c r="T53" s="120"/>
      <c r="X53" s="120"/>
      <c r="AB53" s="120"/>
      <c r="AF53" s="120"/>
      <c r="AG53" s="120"/>
      <c r="AK53" s="403"/>
      <c r="AO53" s="235"/>
      <c r="AP53" s="237"/>
      <c r="AQ53" s="301">
        <f>SUM(AQ48:AQ52)</f>
        <v>39093.981807168006</v>
      </c>
      <c r="AR53" s="211"/>
      <c r="AS53" s="114"/>
      <c r="AT53" s="114"/>
      <c r="AU53" s="114"/>
      <c r="AV53" s="114"/>
      <c r="AW53" s="211"/>
      <c r="AX53" s="211"/>
      <c r="AY53" s="211"/>
      <c r="AZ53" s="211"/>
      <c r="BA53" s="211"/>
    </row>
    <row r="54" spans="1:53" x14ac:dyDescent="0.25">
      <c r="D54" s="120"/>
      <c r="H54" s="120"/>
      <c r="L54" s="120"/>
      <c r="P54" s="120"/>
      <c r="T54" s="120"/>
      <c r="X54" s="120"/>
      <c r="AB54" s="120"/>
      <c r="AF54" s="120"/>
      <c r="AG54" s="120"/>
      <c r="AK54" s="403"/>
      <c r="AR54" s="211"/>
      <c r="AS54" s="211"/>
      <c r="AT54" s="211"/>
      <c r="AU54" s="211"/>
      <c r="AV54" s="211"/>
      <c r="AW54" s="211"/>
      <c r="AX54" s="211"/>
      <c r="AY54" s="211"/>
      <c r="AZ54" s="211"/>
      <c r="BA54" s="211"/>
    </row>
    <row r="55" spans="1:53" x14ac:dyDescent="0.25">
      <c r="D55" s="120"/>
      <c r="H55" s="120"/>
      <c r="L55" s="120"/>
      <c r="P55" s="120"/>
      <c r="T55" s="120"/>
      <c r="X55" s="120"/>
      <c r="AB55" s="120"/>
      <c r="AF55" s="120"/>
      <c r="AG55" s="120"/>
      <c r="AK55" s="403"/>
      <c r="AO55" s="412">
        <f>-SUM(AO8:AO9)</f>
        <v>-30050</v>
      </c>
      <c r="AP55" s="111" t="s">
        <v>1446</v>
      </c>
      <c r="AQ55" s="111"/>
      <c r="AR55" s="211"/>
      <c r="AS55" s="211"/>
      <c r="AT55" s="211"/>
      <c r="AU55" s="211"/>
      <c r="AV55" s="211"/>
      <c r="AW55" s="211"/>
      <c r="AX55" s="211"/>
      <c r="AY55" s="211"/>
      <c r="AZ55" s="211"/>
      <c r="BA55" s="211"/>
    </row>
    <row r="56" spans="1:53" x14ac:dyDescent="0.25">
      <c r="D56" s="120"/>
      <c r="H56" s="120"/>
      <c r="L56" s="120"/>
      <c r="P56" s="120"/>
      <c r="T56" s="120"/>
      <c r="X56" s="120"/>
      <c r="AB56" s="120"/>
      <c r="AF56" s="120"/>
      <c r="AG56" s="120"/>
      <c r="AK56" s="403"/>
      <c r="AO56" s="212"/>
      <c r="AP56" s="212"/>
      <c r="AQ56" s="211"/>
      <c r="AR56" s="211"/>
      <c r="AS56" s="211"/>
      <c r="AT56" s="211"/>
      <c r="AU56" s="211"/>
      <c r="AV56" s="211"/>
      <c r="AW56" s="211"/>
      <c r="AX56" s="211"/>
      <c r="AY56" s="211"/>
      <c r="AZ56" s="211"/>
      <c r="BA56" s="211"/>
    </row>
    <row r="57" spans="1:53" x14ac:dyDescent="0.25">
      <c r="D57" s="120"/>
      <c r="H57" s="120"/>
      <c r="L57" s="120"/>
      <c r="P57" s="120"/>
      <c r="T57" s="120"/>
      <c r="X57" s="120"/>
      <c r="AB57" s="120"/>
      <c r="AF57" s="120"/>
      <c r="AG57" s="120"/>
      <c r="AK57" s="403"/>
      <c r="AO57" s="131"/>
      <c r="AP57" s="131"/>
      <c r="AQ57" s="211"/>
      <c r="AR57" s="211"/>
      <c r="AS57" s="211"/>
      <c r="AT57" s="211"/>
      <c r="AU57" s="211"/>
      <c r="AV57" s="211"/>
      <c r="AW57" s="211"/>
      <c r="AX57" s="211"/>
      <c r="AY57" s="211"/>
      <c r="AZ57" s="211"/>
      <c r="BA57" s="211"/>
    </row>
    <row r="58" spans="1:53" x14ac:dyDescent="0.25">
      <c r="D58" s="120"/>
      <c r="H58" s="120"/>
      <c r="L58" s="120"/>
      <c r="P58" s="120"/>
      <c r="T58" s="120"/>
      <c r="X58" s="120"/>
      <c r="AB58" s="120"/>
      <c r="AF58" s="120"/>
      <c r="AG58" s="120"/>
      <c r="AK58" s="403"/>
      <c r="AO58" s="131"/>
      <c r="AP58" s="131"/>
      <c r="AQ58" s="211"/>
      <c r="AR58" s="211"/>
      <c r="AS58" s="211"/>
      <c r="AT58" s="211"/>
      <c r="AU58" s="211"/>
      <c r="AV58" s="211"/>
      <c r="AW58" s="211"/>
      <c r="AX58" s="211"/>
      <c r="AY58" s="211"/>
      <c r="AZ58" s="211"/>
      <c r="BA58" s="211"/>
    </row>
    <row r="59" spans="1:53" x14ac:dyDescent="0.25">
      <c r="D59" s="120"/>
      <c r="H59" s="120"/>
      <c r="L59" s="120"/>
      <c r="P59" s="120"/>
      <c r="T59" s="120"/>
      <c r="X59" s="120"/>
      <c r="AB59" s="120"/>
      <c r="AF59" s="120"/>
      <c r="AG59" s="120"/>
      <c r="AK59" s="403"/>
      <c r="AO59" s="212"/>
      <c r="AP59" s="212"/>
      <c r="AQ59" s="211"/>
      <c r="AR59" s="211"/>
      <c r="AS59" s="211"/>
      <c r="AT59" s="211"/>
      <c r="AU59" s="211"/>
      <c r="AV59" s="211"/>
      <c r="AW59" s="211"/>
      <c r="AX59" s="211"/>
      <c r="AY59" s="211"/>
      <c r="AZ59" s="211"/>
      <c r="BA59" s="211"/>
    </row>
    <row r="60" spans="1:53" x14ac:dyDescent="0.25">
      <c r="D60" s="120"/>
      <c r="H60" s="120"/>
      <c r="L60" s="120"/>
      <c r="P60" s="120"/>
      <c r="T60" s="120"/>
      <c r="X60" s="120"/>
      <c r="AB60" s="120"/>
      <c r="AF60" s="120"/>
      <c r="AG60" s="120"/>
      <c r="AK60" s="403"/>
      <c r="AO60" s="131"/>
      <c r="AP60" s="211"/>
      <c r="AQ60" s="211"/>
      <c r="AR60" s="211"/>
      <c r="AS60" s="211"/>
      <c r="AT60" s="211"/>
      <c r="AU60" s="211"/>
      <c r="AV60" s="211"/>
      <c r="AW60" s="211"/>
      <c r="AX60" s="211"/>
      <c r="AY60" s="211"/>
      <c r="AZ60" s="211"/>
      <c r="BA60" s="211"/>
    </row>
    <row r="61" spans="1:53" x14ac:dyDescent="0.25">
      <c r="D61" s="120"/>
      <c r="H61" s="120"/>
      <c r="L61" s="120"/>
      <c r="P61" s="120"/>
      <c r="T61" s="120"/>
      <c r="X61" s="120"/>
      <c r="AB61" s="120"/>
      <c r="AF61" s="120"/>
      <c r="AG61" s="120"/>
      <c r="AK61" s="403"/>
      <c r="AO61" s="131"/>
      <c r="AP61" s="211"/>
      <c r="AQ61" s="211"/>
      <c r="AR61" s="211"/>
      <c r="AS61" s="211"/>
      <c r="AT61" s="211"/>
      <c r="AU61" s="211"/>
      <c r="AV61" s="211"/>
      <c r="AW61" s="211"/>
      <c r="AX61" s="211"/>
      <c r="AY61" s="211"/>
      <c r="AZ61" s="211"/>
      <c r="BA61" s="211"/>
    </row>
    <row r="62" spans="1:53" x14ac:dyDescent="0.25">
      <c r="D62" s="120"/>
      <c r="H62" s="120"/>
      <c r="L62" s="120"/>
      <c r="P62" s="120"/>
      <c r="T62" s="120"/>
      <c r="X62" s="120"/>
      <c r="AB62" s="120"/>
      <c r="AF62" s="120"/>
      <c r="AG62" s="120"/>
      <c r="AK62" s="403"/>
      <c r="AO62" s="131"/>
      <c r="AP62" s="211"/>
      <c r="AQ62" s="211"/>
      <c r="AR62" s="211"/>
      <c r="AS62" s="211"/>
      <c r="AT62" s="211"/>
      <c r="AU62" s="211"/>
      <c r="AV62" s="211"/>
      <c r="AW62" s="211"/>
      <c r="AX62" s="211"/>
      <c r="AY62" s="211"/>
      <c r="AZ62" s="211"/>
      <c r="BA62" s="211"/>
    </row>
    <row r="63" spans="1:53" x14ac:dyDescent="0.25">
      <c r="D63" s="120"/>
      <c r="H63" s="120"/>
      <c r="L63" s="120"/>
      <c r="P63" s="120"/>
      <c r="T63" s="120"/>
      <c r="X63" s="120"/>
      <c r="AB63" s="120"/>
      <c r="AF63" s="120"/>
      <c r="AG63" s="120"/>
      <c r="AK63" s="403"/>
      <c r="AO63" s="212"/>
      <c r="AP63" s="212"/>
      <c r="AQ63" s="211"/>
      <c r="AR63" s="211"/>
      <c r="AS63" s="211"/>
      <c r="AT63" s="211"/>
      <c r="AU63" s="211"/>
      <c r="AV63" s="211"/>
      <c r="AW63" s="211"/>
      <c r="AX63" s="211"/>
      <c r="AY63" s="211"/>
      <c r="AZ63" s="211"/>
      <c r="BA63" s="211"/>
    </row>
    <row r="64" spans="1:53" x14ac:dyDescent="0.25">
      <c r="D64" s="120"/>
      <c r="H64" s="120"/>
      <c r="L64" s="120"/>
      <c r="P64" s="120"/>
      <c r="T64" s="120"/>
      <c r="X64" s="120"/>
      <c r="AB64" s="120"/>
      <c r="AF64" s="120"/>
      <c r="AG64" s="120"/>
      <c r="AK64" s="403"/>
      <c r="AO64" s="212"/>
      <c r="AP64" s="212"/>
      <c r="AQ64" s="211"/>
      <c r="AR64" s="211"/>
      <c r="AS64" s="211"/>
      <c r="AT64" s="211"/>
      <c r="AU64" s="211"/>
      <c r="AV64" s="211"/>
      <c r="AW64" s="211"/>
      <c r="AX64" s="211"/>
      <c r="AY64" s="211"/>
      <c r="AZ64" s="211"/>
      <c r="BA64" s="211"/>
    </row>
    <row r="65" spans="4:53" x14ac:dyDescent="0.25">
      <c r="D65" s="120"/>
      <c r="H65" s="120"/>
      <c r="L65" s="120"/>
      <c r="P65" s="120"/>
      <c r="T65" s="120"/>
      <c r="X65" s="120"/>
      <c r="AB65" s="120"/>
      <c r="AF65" s="120"/>
      <c r="AG65" s="120"/>
      <c r="AK65" s="403"/>
      <c r="AO65" s="212"/>
      <c r="AP65" s="212"/>
      <c r="AQ65" s="211"/>
      <c r="AR65" s="211"/>
      <c r="AS65" s="211"/>
      <c r="AT65" s="211"/>
      <c r="AU65" s="211"/>
      <c r="AV65" s="211"/>
      <c r="AW65" s="211"/>
      <c r="AX65" s="211"/>
      <c r="AY65" s="211"/>
      <c r="AZ65" s="211"/>
      <c r="BA65" s="211"/>
    </row>
    <row r="66" spans="4:53" x14ac:dyDescent="0.25">
      <c r="D66" s="120"/>
      <c r="H66" s="120"/>
      <c r="L66" s="120"/>
      <c r="P66" s="120"/>
      <c r="T66" s="120"/>
      <c r="X66" s="120"/>
      <c r="AB66" s="120"/>
      <c r="AF66" s="120"/>
      <c r="AG66" s="120"/>
      <c r="AK66" s="403"/>
      <c r="AO66" s="212"/>
      <c r="AP66" s="212"/>
      <c r="AQ66" s="211"/>
      <c r="AR66" s="211"/>
      <c r="AS66" s="211"/>
      <c r="AT66" s="211"/>
      <c r="AU66" s="211"/>
      <c r="AV66" s="211"/>
      <c r="AW66" s="211"/>
      <c r="AX66" s="211"/>
      <c r="AY66" s="211"/>
      <c r="AZ66" s="211"/>
      <c r="BA66" s="211"/>
    </row>
    <row r="67" spans="4:53" x14ac:dyDescent="0.25">
      <c r="D67" s="120"/>
      <c r="H67" s="120"/>
      <c r="L67" s="120"/>
      <c r="P67" s="120"/>
      <c r="T67" s="120"/>
      <c r="X67" s="120"/>
      <c r="AB67" s="120"/>
      <c r="AF67" s="120"/>
      <c r="AG67" s="120"/>
      <c r="AK67" s="403"/>
      <c r="AO67" s="212"/>
      <c r="AP67" s="212"/>
      <c r="AQ67" s="211"/>
      <c r="AR67" s="211"/>
      <c r="AS67" s="211"/>
      <c r="AT67" s="211"/>
      <c r="AU67" s="211"/>
      <c r="AV67" s="211"/>
      <c r="AW67" s="211"/>
      <c r="AX67" s="211"/>
      <c r="AY67" s="211"/>
      <c r="AZ67" s="211"/>
      <c r="BA67" s="211"/>
    </row>
    <row r="68" spans="4:53" x14ac:dyDescent="0.25">
      <c r="D68" s="120"/>
      <c r="H68" s="120"/>
      <c r="L68" s="120"/>
      <c r="P68" s="120"/>
      <c r="T68" s="120"/>
      <c r="X68" s="120"/>
      <c r="AB68" s="120"/>
      <c r="AF68" s="120"/>
      <c r="AG68" s="120"/>
      <c r="AK68" s="403"/>
      <c r="AO68" s="212"/>
      <c r="AP68" s="212"/>
      <c r="AQ68" s="211"/>
      <c r="AR68" s="211"/>
      <c r="AS68" s="211"/>
      <c r="AT68" s="211"/>
      <c r="AU68" s="211"/>
      <c r="AV68" s="211"/>
      <c r="AW68" s="211"/>
      <c r="AX68" s="211"/>
      <c r="AY68" s="211"/>
      <c r="AZ68" s="211"/>
      <c r="BA68" s="211"/>
    </row>
    <row r="69" spans="4:53" x14ac:dyDescent="0.25">
      <c r="D69" s="120"/>
      <c r="H69" s="120"/>
      <c r="L69" s="120"/>
      <c r="P69" s="120"/>
      <c r="T69" s="120"/>
      <c r="X69" s="120"/>
      <c r="AB69" s="120"/>
      <c r="AF69" s="120"/>
      <c r="AG69" s="120"/>
      <c r="AK69" s="403"/>
      <c r="AO69" s="212"/>
      <c r="AP69" s="212"/>
      <c r="AQ69" s="211"/>
      <c r="AR69" s="211"/>
      <c r="AS69" s="211"/>
      <c r="AT69" s="211"/>
      <c r="AU69" s="211"/>
      <c r="AV69" s="211"/>
      <c r="AW69" s="211"/>
      <c r="AX69" s="211"/>
      <c r="AY69" s="211"/>
      <c r="AZ69" s="211"/>
      <c r="BA69" s="211"/>
    </row>
    <row r="70" spans="4:53" x14ac:dyDescent="0.25">
      <c r="D70" s="120"/>
      <c r="H70" s="120"/>
      <c r="L70" s="120"/>
      <c r="P70" s="120"/>
      <c r="T70" s="120"/>
      <c r="X70" s="120"/>
      <c r="AB70" s="120"/>
      <c r="AF70" s="120"/>
      <c r="AG70" s="120"/>
      <c r="AK70" s="403"/>
      <c r="AO70" s="212"/>
      <c r="AP70" s="212"/>
      <c r="AQ70" s="211"/>
      <c r="AR70" s="211"/>
      <c r="AS70" s="211"/>
      <c r="AT70" s="211"/>
      <c r="AU70" s="211"/>
      <c r="AV70" s="211"/>
      <c r="AW70" s="211"/>
      <c r="AX70" s="211"/>
      <c r="AY70" s="211"/>
      <c r="AZ70" s="211"/>
      <c r="BA70" s="211"/>
    </row>
    <row r="71" spans="4:53" x14ac:dyDescent="0.25">
      <c r="D71" s="120"/>
      <c r="H71" s="120"/>
      <c r="L71" s="120"/>
      <c r="P71" s="120"/>
      <c r="T71" s="120"/>
      <c r="X71" s="120"/>
      <c r="AB71" s="120"/>
      <c r="AF71" s="120"/>
      <c r="AG71" s="120"/>
      <c r="AK71" s="403"/>
    </row>
    <row r="72" spans="4:53" x14ac:dyDescent="0.25">
      <c r="D72" s="120"/>
      <c r="H72" s="120"/>
      <c r="L72" s="120"/>
      <c r="P72" s="120"/>
      <c r="T72" s="120"/>
      <c r="X72" s="120"/>
      <c r="AB72" s="120"/>
      <c r="AF72" s="120"/>
      <c r="AG72" s="120"/>
      <c r="AK72" s="403"/>
    </row>
    <row r="73" spans="4:53" x14ac:dyDescent="0.25">
      <c r="D73" s="120"/>
      <c r="H73" s="120"/>
      <c r="L73" s="120"/>
      <c r="P73" s="120"/>
      <c r="T73" s="120"/>
      <c r="X73" s="120"/>
      <c r="AB73" s="120"/>
      <c r="AF73" s="120"/>
      <c r="AG73" s="120"/>
      <c r="AK73" s="403"/>
    </row>
    <row r="74" spans="4:53" x14ac:dyDescent="0.25">
      <c r="D74" s="120"/>
      <c r="H74" s="120"/>
      <c r="L74" s="120"/>
      <c r="P74" s="120"/>
      <c r="T74" s="120"/>
      <c r="X74" s="120"/>
      <c r="AB74" s="120"/>
      <c r="AF74" s="120"/>
      <c r="AG74" s="120"/>
      <c r="AK74" s="403"/>
    </row>
    <row r="75" spans="4:53" x14ac:dyDescent="0.25">
      <c r="D75" s="120"/>
      <c r="H75" s="120"/>
      <c r="L75" s="120"/>
      <c r="P75" s="120"/>
      <c r="T75" s="120"/>
      <c r="X75" s="120"/>
      <c r="AB75" s="120"/>
      <c r="AF75" s="120"/>
      <c r="AG75" s="120"/>
      <c r="AK75" s="403"/>
    </row>
    <row r="76" spans="4:53" x14ac:dyDescent="0.25">
      <c r="D76" s="120"/>
      <c r="H76" s="120"/>
      <c r="L76" s="120"/>
      <c r="P76" s="120"/>
      <c r="T76" s="120"/>
      <c r="X76" s="120"/>
      <c r="AB76" s="120"/>
      <c r="AF76" s="120"/>
      <c r="AG76" s="120"/>
      <c r="AK76" s="403"/>
    </row>
    <row r="77" spans="4:53" x14ac:dyDescent="0.25">
      <c r="D77" s="120"/>
      <c r="H77" s="120"/>
      <c r="L77" s="120"/>
      <c r="P77" s="120"/>
      <c r="T77" s="120"/>
      <c r="X77" s="120"/>
      <c r="AB77" s="120"/>
      <c r="AF77" s="120"/>
      <c r="AG77" s="120"/>
      <c r="AK77" s="403"/>
    </row>
    <row r="78" spans="4:53" x14ac:dyDescent="0.25">
      <c r="D78" s="120"/>
      <c r="H78" s="120"/>
      <c r="L78" s="120"/>
      <c r="P78" s="120"/>
      <c r="T78" s="120"/>
      <c r="X78" s="120"/>
      <c r="AB78" s="120"/>
      <c r="AF78" s="120"/>
      <c r="AG78" s="120"/>
      <c r="AK78" s="403"/>
    </row>
    <row r="79" spans="4:53" x14ac:dyDescent="0.25">
      <c r="D79" s="120"/>
      <c r="H79" s="120"/>
      <c r="L79" s="120"/>
      <c r="P79" s="120"/>
      <c r="T79" s="120"/>
      <c r="X79" s="120"/>
      <c r="AB79" s="120"/>
      <c r="AF79" s="120"/>
      <c r="AG79" s="120"/>
      <c r="AK79" s="403"/>
    </row>
    <row r="80" spans="4:53"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row r="388" spans="4:37" x14ac:dyDescent="0.25">
      <c r="D388" s="120"/>
      <c r="H388" s="120"/>
      <c r="L388" s="120"/>
      <c r="P388" s="120"/>
      <c r="T388" s="120"/>
      <c r="X388" s="120"/>
      <c r="AB388" s="120"/>
      <c r="AF388" s="120"/>
      <c r="AG388" s="120"/>
      <c r="AK388" s="403"/>
    </row>
    <row r="389" spans="4:37" x14ac:dyDescent="0.25">
      <c r="D389" s="120"/>
      <c r="H389" s="120"/>
      <c r="L389" s="120"/>
      <c r="P389" s="120"/>
      <c r="T389" s="120"/>
      <c r="X389" s="120"/>
      <c r="AB389" s="120"/>
      <c r="AF389" s="120"/>
      <c r="AG389" s="120"/>
      <c r="AK389" s="403"/>
    </row>
    <row r="390" spans="4:37" x14ac:dyDescent="0.25">
      <c r="D390" s="120"/>
      <c r="H390" s="120"/>
      <c r="L390" s="120"/>
      <c r="P390" s="120"/>
      <c r="T390" s="120"/>
      <c r="X390" s="120"/>
      <c r="AB390" s="120"/>
      <c r="AF390" s="120"/>
      <c r="AG390" s="120"/>
      <c r="AK390" s="403"/>
    </row>
    <row r="391" spans="4:37" x14ac:dyDescent="0.25">
      <c r="D391" s="120"/>
      <c r="H391" s="120"/>
      <c r="L391" s="120"/>
      <c r="P391" s="120"/>
      <c r="T391" s="120"/>
      <c r="X391" s="120"/>
      <c r="AB391" s="120"/>
      <c r="AF391" s="120"/>
      <c r="AG391" s="120"/>
      <c r="AK391" s="403"/>
    </row>
    <row r="392" spans="4:37" x14ac:dyDescent="0.25">
      <c r="D392" s="120"/>
      <c r="H392" s="120"/>
      <c r="L392" s="120"/>
      <c r="P392" s="120"/>
      <c r="T392" s="120"/>
      <c r="X392" s="120"/>
      <c r="AB392" s="120"/>
      <c r="AF392" s="120"/>
      <c r="AG392" s="120"/>
      <c r="AK392" s="403"/>
    </row>
    <row r="393" spans="4:37" x14ac:dyDescent="0.25">
      <c r="D393" s="120"/>
      <c r="H393" s="120"/>
      <c r="L393" s="120"/>
      <c r="P393" s="120"/>
      <c r="T393" s="120"/>
      <c r="X393" s="120"/>
      <c r="AB393" s="120"/>
      <c r="AF393" s="120"/>
      <c r="AG393" s="120"/>
      <c r="AK393" s="403"/>
    </row>
    <row r="394" spans="4:37" x14ac:dyDescent="0.25">
      <c r="D394" s="120"/>
      <c r="H394" s="120"/>
      <c r="L394" s="120"/>
      <c r="P394" s="120"/>
      <c r="T394" s="120"/>
      <c r="X394" s="120"/>
      <c r="AB394" s="120"/>
      <c r="AF394" s="120"/>
      <c r="AG394" s="120"/>
      <c r="AK394" s="403"/>
    </row>
    <row r="395" spans="4:37" x14ac:dyDescent="0.25">
      <c r="D395" s="120"/>
      <c r="H395" s="120"/>
      <c r="L395" s="120"/>
      <c r="P395" s="120"/>
      <c r="T395" s="120"/>
      <c r="X395" s="120"/>
      <c r="AB395" s="120"/>
      <c r="AF395" s="120"/>
      <c r="AG395" s="120"/>
      <c r="AK395" s="403"/>
    </row>
    <row r="396" spans="4:37" x14ac:dyDescent="0.25">
      <c r="D396" s="120"/>
      <c r="H396" s="120"/>
      <c r="L396" s="120"/>
      <c r="P396" s="120"/>
      <c r="T396" s="120"/>
      <c r="X396" s="120"/>
      <c r="AB396" s="120"/>
      <c r="AF396" s="120"/>
      <c r="AG396" s="120"/>
      <c r="AK396" s="403"/>
    </row>
    <row r="397" spans="4:37" x14ac:dyDescent="0.25">
      <c r="D397" s="120"/>
      <c r="H397" s="120"/>
      <c r="L397" s="120"/>
      <c r="P397" s="120"/>
      <c r="T397" s="120"/>
      <c r="X397" s="120"/>
      <c r="AB397" s="120"/>
      <c r="AF397" s="120"/>
      <c r="AG397" s="120"/>
      <c r="AK397" s="403"/>
    </row>
  </sheetData>
  <mergeCells count="10">
    <mergeCell ref="D3:F3"/>
    <mergeCell ref="T3:V3"/>
    <mergeCell ref="X3:Z3"/>
    <mergeCell ref="AB3:AD3"/>
    <mergeCell ref="AO3:AR3"/>
    <mergeCell ref="AF3:AI3"/>
    <mergeCell ref="P3:R3"/>
    <mergeCell ref="H3:J3"/>
    <mergeCell ref="L3:N3"/>
    <mergeCell ref="AK3:AM3"/>
  </mergeCells>
  <hyperlinks>
    <hyperlink ref="AR8" r:id="rId1" xr:uid="{00000000-0004-0000-2500-000000000000}"/>
  </hyperlinks>
  <pageMargins left="0.75" right="0.75" top="1" bottom="1" header="0.5" footer="0.5"/>
  <pageSetup paperSize="5" scale="76" fitToHeight="2" orientation="landscape" copies="15" r:id="rId2"/>
  <headerFooter alignWithMargins="0">
    <oddHeader>&amp;C&amp;"-,Bold"Proposed Budget &amp; Analysis Report for FY20</oddHeader>
    <oddFooter>&amp;C&amp;D&amp;T&amp;R&amp;A</oddFooter>
  </headerFooter>
  <rowBreaks count="1" manualBreakCount="1">
    <brk id="46" min="1" max="43" man="1"/>
  </rowBreaks>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3:AR373"/>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4.5703125" style="161" customWidth="1"/>
    <col min="4" max="4" width="13.28515625" style="211" hidden="1" customWidth="1"/>
    <col min="5" max="5" width="11.42578125" style="211" hidden="1" customWidth="1"/>
    <col min="6" max="6" width="6.85546875" style="211" hidden="1" customWidth="1"/>
    <col min="7" max="7" width="1.85546875" style="213" hidden="1" customWidth="1"/>
    <col min="8" max="8" width="13.28515625" style="211" hidden="1" customWidth="1"/>
    <col min="9" max="9" width="11.42578125" style="211" hidden="1" customWidth="1"/>
    <col min="10" max="10" width="6.85546875" style="211" hidden="1" customWidth="1"/>
    <col min="11" max="11" width="1.85546875" style="213" hidden="1" customWidth="1"/>
    <col min="12" max="12" width="13.28515625" style="211" hidden="1" customWidth="1"/>
    <col min="13" max="13" width="11.42578125" style="211" hidden="1" customWidth="1"/>
    <col min="14" max="14" width="6.85546875" style="211" hidden="1" customWidth="1"/>
    <col min="15" max="15" width="1.85546875" style="213" hidden="1" customWidth="1"/>
    <col min="16" max="16" width="13.28515625" style="211" hidden="1" customWidth="1"/>
    <col min="17" max="17" width="11.42578125" style="211" hidden="1" customWidth="1"/>
    <col min="18" max="18" width="6.85546875" style="211" hidden="1" customWidth="1"/>
    <col min="19" max="19" width="1.85546875" style="213" hidden="1" customWidth="1"/>
    <col min="20" max="20" width="13.28515625" style="161" hidden="1" customWidth="1"/>
    <col min="21" max="21" width="11.42578125" style="161" hidden="1" customWidth="1"/>
    <col min="22" max="22" width="6.85546875" style="161" hidden="1" customWidth="1"/>
    <col min="23" max="23" width="1.85546875" style="103" hidden="1" customWidth="1"/>
    <col min="24" max="25" width="11.5703125" style="161" hidden="1" customWidth="1"/>
    <col min="26" max="26" width="7.7109375" style="161" hidden="1" customWidth="1"/>
    <col min="27" max="27" width="1.85546875" style="103" hidden="1" customWidth="1"/>
    <col min="28" max="29" width="11.5703125" style="161" customWidth="1"/>
    <col min="30" max="30" width="8.140625" style="161" bestFit="1" customWidth="1"/>
    <col min="31" max="31" width="1.85546875" style="213" customWidth="1"/>
    <col min="32" max="32" width="11.5703125" style="211" hidden="1" customWidth="1"/>
    <col min="33" max="34" width="11.5703125" style="211" customWidth="1"/>
    <col min="35" max="35" width="8.140625" style="211" bestFit="1" customWidth="1"/>
    <col min="36" max="36" width="1.85546875" style="161" customWidth="1"/>
    <col min="37" max="38" width="11.5703125" style="394" customWidth="1"/>
    <col min="39" max="39" width="8.140625" style="394" bestFit="1" customWidth="1"/>
    <col min="40" max="40" width="1.85546875" style="397" customWidth="1"/>
    <col min="41" max="42" width="11.7109375" style="104" customWidth="1"/>
    <col min="43" max="43" width="11.42578125" style="161" bestFit="1" customWidth="1"/>
    <col min="44" max="44" width="16.28515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1974</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80"/>
      <c r="AK6" s="112"/>
      <c r="AL6" s="112"/>
      <c r="AM6" s="396"/>
      <c r="AQ6" s="80"/>
      <c r="AR6" s="2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7"/>
      <c r="AH7" s="225">
        <f>SUM(AH6:AH6)</f>
        <v>0</v>
      </c>
      <c r="AI7" s="226"/>
      <c r="AJ7" s="226"/>
      <c r="AK7" s="225">
        <f>SUM(AK6:AK6)</f>
        <v>0</v>
      </c>
      <c r="AL7" s="225">
        <f>SUM(AL6:AL6)</f>
        <v>0</v>
      </c>
      <c r="AM7" s="226"/>
      <c r="AN7" s="224"/>
      <c r="AO7" s="227"/>
      <c r="AP7" s="225">
        <f>AO7-T7</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80"/>
      <c r="AR9" s="111"/>
    </row>
    <row r="10" spans="1:44" x14ac:dyDescent="0.25">
      <c r="A10" s="161" t="s">
        <v>710</v>
      </c>
      <c r="B10" s="119" t="str">
        <f>MID(A10,14,4)</f>
        <v>5245</v>
      </c>
      <c r="C10" s="161" t="s">
        <v>1633</v>
      </c>
      <c r="D10" s="112">
        <v>1000</v>
      </c>
      <c r="E10" s="112">
        <v>579.57000000000005</v>
      </c>
      <c r="F10" s="216"/>
      <c r="H10" s="112">
        <v>1000</v>
      </c>
      <c r="I10" s="112">
        <v>0</v>
      </c>
      <c r="J10" s="216"/>
      <c r="L10" s="112">
        <v>1000</v>
      </c>
      <c r="M10" s="112">
        <v>0</v>
      </c>
      <c r="N10" s="216"/>
      <c r="P10" s="112">
        <v>1000</v>
      </c>
      <c r="Q10" s="112">
        <v>0</v>
      </c>
      <c r="R10" s="216"/>
      <c r="T10" s="112">
        <v>1000</v>
      </c>
      <c r="U10" s="112">
        <v>945.71</v>
      </c>
      <c r="V10" s="216"/>
      <c r="W10" s="213"/>
      <c r="X10" s="112">
        <v>1000</v>
      </c>
      <c r="Y10" s="112">
        <v>833.82</v>
      </c>
      <c r="Z10" s="216"/>
      <c r="AA10" s="213"/>
      <c r="AB10" s="112">
        <v>1000</v>
      </c>
      <c r="AC10" s="112">
        <v>518.85</v>
      </c>
      <c r="AD10" s="216"/>
      <c r="AF10" s="163">
        <v>1000</v>
      </c>
      <c r="AG10" s="163">
        <v>1000</v>
      </c>
      <c r="AH10" s="112">
        <v>1074.6400000000001</v>
      </c>
      <c r="AI10" s="216">
        <f>(AG10-AB10)/AB10</f>
        <v>0</v>
      </c>
      <c r="AJ10" s="80"/>
      <c r="AK10" s="112">
        <v>1000</v>
      </c>
      <c r="AL10" s="112">
        <v>0</v>
      </c>
      <c r="AM10" s="396"/>
      <c r="AO10" s="163">
        <v>1000</v>
      </c>
      <c r="AP10" s="104">
        <f>AO10-AG10</f>
        <v>0</v>
      </c>
      <c r="AQ10" s="80">
        <f>AP10/AG10</f>
        <v>0</v>
      </c>
      <c r="AR10" s="288"/>
    </row>
    <row r="11" spans="1:44" x14ac:dyDescent="0.25">
      <c r="A11" s="161" t="s">
        <v>711</v>
      </c>
      <c r="B11" s="119" t="str">
        <f>MID(A11,14,4)</f>
        <v>5292</v>
      </c>
      <c r="C11" s="161" t="s">
        <v>1850</v>
      </c>
      <c r="D11" s="112">
        <v>4000</v>
      </c>
      <c r="E11" s="112">
        <v>26344.81</v>
      </c>
      <c r="F11" s="216"/>
      <c r="H11" s="112">
        <v>4000</v>
      </c>
      <c r="I11" s="112">
        <v>7599.22</v>
      </c>
      <c r="J11" s="216"/>
      <c r="L11" s="112">
        <v>4000</v>
      </c>
      <c r="M11" s="112">
        <v>45271.98</v>
      </c>
      <c r="N11" s="216"/>
      <c r="P11" s="112">
        <v>4000</v>
      </c>
      <c r="Q11" s="112">
        <v>73623.87</v>
      </c>
      <c r="R11" s="216"/>
      <c r="T11" s="112">
        <v>4000</v>
      </c>
      <c r="U11" s="112">
        <v>73088.539999999994</v>
      </c>
      <c r="V11" s="216"/>
      <c r="W11" s="213"/>
      <c r="X11" s="112">
        <v>4000</v>
      </c>
      <c r="Y11" s="112">
        <v>50677.03</v>
      </c>
      <c r="Z11" s="216"/>
      <c r="AA11" s="213"/>
      <c r="AB11" s="112">
        <v>20000</v>
      </c>
      <c r="AC11" s="112">
        <v>40077.49</v>
      </c>
      <c r="AD11" s="216"/>
      <c r="AF11" s="112">
        <v>20000</v>
      </c>
      <c r="AG11" s="112">
        <v>20000</v>
      </c>
      <c r="AH11" s="112">
        <v>51366.86</v>
      </c>
      <c r="AI11" s="216">
        <f t="shared" ref="AI11:AI16" si="0">(AG11-AB11)/AB11</f>
        <v>0</v>
      </c>
      <c r="AJ11" s="80"/>
      <c r="AK11" s="112">
        <v>20000</v>
      </c>
      <c r="AL11" s="112">
        <v>448.76</v>
      </c>
      <c r="AM11" s="396"/>
      <c r="AO11" s="163">
        <v>20000</v>
      </c>
      <c r="AP11" s="212">
        <f>AO11-AG11</f>
        <v>0</v>
      </c>
      <c r="AQ11" s="216">
        <f>AP11/AG11</f>
        <v>0</v>
      </c>
      <c r="AR11" s="288" t="s">
        <v>1403</v>
      </c>
    </row>
    <row r="12" spans="1:44" s="394" customFormat="1" x14ac:dyDescent="0.25">
      <c r="A12" s="395" t="s">
        <v>1494</v>
      </c>
      <c r="B12" s="395" t="str">
        <f>MID(A12,14,4)</f>
        <v>5303</v>
      </c>
      <c r="C12" s="394" t="s">
        <v>1495</v>
      </c>
      <c r="D12" s="112">
        <v>0</v>
      </c>
      <c r="E12" s="112">
        <v>0</v>
      </c>
      <c r="F12" s="396"/>
      <c r="G12" s="397"/>
      <c r="H12" s="112">
        <v>0</v>
      </c>
      <c r="I12" s="112">
        <v>0</v>
      </c>
      <c r="J12" s="396"/>
      <c r="K12" s="397"/>
      <c r="L12" s="112">
        <v>0</v>
      </c>
      <c r="M12" s="112">
        <v>0</v>
      </c>
      <c r="N12" s="396"/>
      <c r="O12" s="397"/>
      <c r="P12" s="112">
        <v>0</v>
      </c>
      <c r="Q12" s="112">
        <v>0</v>
      </c>
      <c r="R12" s="396"/>
      <c r="S12" s="397"/>
      <c r="T12" s="112">
        <v>0</v>
      </c>
      <c r="U12" s="112">
        <v>0</v>
      </c>
      <c r="V12" s="396"/>
      <c r="W12" s="397"/>
      <c r="X12" s="112">
        <v>0</v>
      </c>
      <c r="Y12" s="112">
        <v>0</v>
      </c>
      <c r="Z12" s="396"/>
      <c r="AA12" s="397"/>
      <c r="AB12" s="112"/>
      <c r="AC12" s="112"/>
      <c r="AD12" s="396"/>
      <c r="AE12" s="397"/>
      <c r="AF12" s="112"/>
      <c r="AG12" s="112"/>
      <c r="AH12" s="112">
        <v>75</v>
      </c>
      <c r="AI12" s="396"/>
      <c r="AJ12" s="396"/>
      <c r="AK12" s="112"/>
      <c r="AL12" s="112"/>
      <c r="AM12" s="396"/>
      <c r="AN12" s="397"/>
      <c r="AO12" s="163"/>
      <c r="AP12" s="399">
        <f>AO12-AG12</f>
        <v>0</v>
      </c>
      <c r="AQ12" s="396"/>
      <c r="AR12" s="400"/>
    </row>
    <row r="13" spans="1:44" x14ac:dyDescent="0.25">
      <c r="A13" s="161" t="s">
        <v>712</v>
      </c>
      <c r="B13" s="119" t="str">
        <f>MID(A13,14,4)</f>
        <v>5533</v>
      </c>
      <c r="C13" s="161" t="s">
        <v>1851</v>
      </c>
      <c r="D13" s="112">
        <v>2000</v>
      </c>
      <c r="E13" s="112">
        <v>20450.78</v>
      </c>
      <c r="F13" s="216"/>
      <c r="H13" s="112">
        <v>2000</v>
      </c>
      <c r="I13" s="112">
        <v>4617.3599999999997</v>
      </c>
      <c r="J13" s="216"/>
      <c r="L13" s="112">
        <v>2000</v>
      </c>
      <c r="M13" s="112">
        <v>10308.42</v>
      </c>
      <c r="N13" s="216"/>
      <c r="P13" s="112">
        <v>2000</v>
      </c>
      <c r="Q13" s="112">
        <v>25807.52</v>
      </c>
      <c r="R13" s="216"/>
      <c r="T13" s="112">
        <v>2000</v>
      </c>
      <c r="U13" s="112">
        <v>23922.78</v>
      </c>
      <c r="V13" s="216"/>
      <c r="W13" s="213"/>
      <c r="X13" s="112">
        <v>2000</v>
      </c>
      <c r="Y13" s="112">
        <v>15624.78</v>
      </c>
      <c r="Z13" s="216"/>
      <c r="AA13" s="213"/>
      <c r="AB13" s="112">
        <v>9000</v>
      </c>
      <c r="AC13" s="112">
        <v>11936.2</v>
      </c>
      <c r="AD13" s="216"/>
      <c r="AF13" s="112">
        <v>9000</v>
      </c>
      <c r="AG13" s="112">
        <v>9000</v>
      </c>
      <c r="AH13" s="112">
        <v>22610.31</v>
      </c>
      <c r="AI13" s="216">
        <f t="shared" si="0"/>
        <v>0</v>
      </c>
      <c r="AJ13" s="80"/>
      <c r="AK13" s="112">
        <v>9000</v>
      </c>
      <c r="AL13" s="112">
        <v>0</v>
      </c>
      <c r="AM13" s="396"/>
      <c r="AO13" s="163">
        <v>9000</v>
      </c>
      <c r="AP13" s="212">
        <f>AO13-AG13</f>
        <v>0</v>
      </c>
      <c r="AQ13" s="216">
        <f>AP13/AG13</f>
        <v>0</v>
      </c>
      <c r="AR13" s="166"/>
    </row>
    <row r="14" spans="1:44" s="114" customFormat="1" x14ac:dyDescent="0.25">
      <c r="A14" s="219"/>
      <c r="B14" s="219"/>
      <c r="C14" s="219" t="s">
        <v>279</v>
      </c>
      <c r="D14" s="220">
        <f>SUM(D10:D13)</f>
        <v>7000</v>
      </c>
      <c r="E14" s="220">
        <f>SUM(E10:E13)</f>
        <v>47375.16</v>
      </c>
      <c r="F14" s="221">
        <v>0</v>
      </c>
      <c r="G14" s="219"/>
      <c r="H14" s="220">
        <f>SUM(H10:H13)</f>
        <v>7000</v>
      </c>
      <c r="I14" s="220">
        <f>SUM(I10:I13)</f>
        <v>12216.58</v>
      </c>
      <c r="J14" s="221">
        <v>0</v>
      </c>
      <c r="K14" s="219"/>
      <c r="L14" s="220">
        <f>SUM(L10:L13)</f>
        <v>7000</v>
      </c>
      <c r="M14" s="220">
        <f>SUM(M10:M13)</f>
        <v>55580.4</v>
      </c>
      <c r="N14" s="221">
        <v>0</v>
      </c>
      <c r="O14" s="219"/>
      <c r="P14" s="220">
        <f>SUM(P10:P13)</f>
        <v>7000</v>
      </c>
      <c r="Q14" s="220">
        <f>SUM(Q10:Q13)</f>
        <v>99431.39</v>
      </c>
      <c r="R14" s="221">
        <v>0</v>
      </c>
      <c r="S14" s="219"/>
      <c r="T14" s="220">
        <f>SUM(T10:T13)</f>
        <v>7000</v>
      </c>
      <c r="U14" s="220">
        <f>SUM(U10:U13)</f>
        <v>97957.03</v>
      </c>
      <c r="V14" s="221">
        <v>0</v>
      </c>
      <c r="W14" s="219"/>
      <c r="X14" s="220">
        <f>SUM(X10:X13)</f>
        <v>7000</v>
      </c>
      <c r="Y14" s="220">
        <f>SUM(Y10:Y13)</f>
        <v>67135.63</v>
      </c>
      <c r="Z14" s="222">
        <f>(X14-T14)/T14</f>
        <v>0</v>
      </c>
      <c r="AA14" s="219"/>
      <c r="AB14" s="220">
        <f>SUM(AB10:AB13)</f>
        <v>30000</v>
      </c>
      <c r="AC14" s="220">
        <f>SUM(AC10:AC13)</f>
        <v>52532.539999999994</v>
      </c>
      <c r="AD14" s="221">
        <f>(AB14-X14)/X14</f>
        <v>3.2857142857142856</v>
      </c>
      <c r="AE14" s="219"/>
      <c r="AF14" s="220">
        <f>SUM(AF10:AF13)</f>
        <v>30000</v>
      </c>
      <c r="AG14" s="220">
        <f>SUM(AG10:AG13)</f>
        <v>30000</v>
      </c>
      <c r="AH14" s="220">
        <f>SUM(AH10:AH13)</f>
        <v>75126.81</v>
      </c>
      <c r="AI14" s="221">
        <f t="shared" si="0"/>
        <v>0</v>
      </c>
      <c r="AJ14" s="221"/>
      <c r="AK14" s="401">
        <f>SUM(AK10:AK13)</f>
        <v>30000</v>
      </c>
      <c r="AL14" s="401">
        <f>SUM(AL10:AL13)</f>
        <v>448.76</v>
      </c>
      <c r="AM14" s="221">
        <f>(AK14-AG14)/AG14</f>
        <v>0</v>
      </c>
      <c r="AN14" s="219"/>
      <c r="AO14" s="223">
        <f>SUM(AO10:AO13)</f>
        <v>30000</v>
      </c>
      <c r="AP14" s="220">
        <f>SUM(AP10:AP13)</f>
        <v>0</v>
      </c>
      <c r="AQ14" s="221">
        <f>AP14/AG14</f>
        <v>0</v>
      </c>
      <c r="AR14" s="219"/>
    </row>
    <row r="15" spans="1:44" s="211" customFormat="1" x14ac:dyDescent="0.25">
      <c r="D15" s="112"/>
      <c r="E15" s="112"/>
      <c r="F15" s="216"/>
      <c r="G15" s="213"/>
      <c r="H15" s="112"/>
      <c r="I15" s="112"/>
      <c r="J15" s="216"/>
      <c r="K15" s="213"/>
      <c r="L15" s="112"/>
      <c r="M15" s="112"/>
      <c r="N15" s="216"/>
      <c r="O15" s="213"/>
      <c r="P15" s="112"/>
      <c r="Q15" s="112"/>
      <c r="R15" s="216"/>
      <c r="S15" s="213"/>
      <c r="T15" s="112"/>
      <c r="U15" s="112"/>
      <c r="V15" s="216"/>
      <c r="W15" s="213"/>
      <c r="X15" s="112"/>
      <c r="Y15" s="112"/>
      <c r="Z15" s="216"/>
      <c r="AA15" s="213"/>
      <c r="AB15" s="112"/>
      <c r="AC15" s="112"/>
      <c r="AD15" s="216"/>
      <c r="AE15" s="213"/>
      <c r="AF15" s="112"/>
      <c r="AG15" s="112"/>
      <c r="AH15" s="112"/>
      <c r="AI15" s="216"/>
      <c r="AJ15" s="216"/>
      <c r="AK15" s="112"/>
      <c r="AL15" s="112"/>
      <c r="AM15" s="396"/>
      <c r="AN15" s="397"/>
      <c r="AO15" s="212"/>
      <c r="AP15" s="212"/>
      <c r="AQ15" s="216"/>
    </row>
    <row r="16" spans="1:44" s="114" customFormat="1" ht="12.75" x14ac:dyDescent="0.2">
      <c r="A16" s="228"/>
      <c r="B16" s="228"/>
      <c r="C16" s="233" t="s">
        <v>280</v>
      </c>
      <c r="D16" s="230">
        <f>D7+D14</f>
        <v>7000</v>
      </c>
      <c r="E16" s="230">
        <f>E7+E14</f>
        <v>47375.16</v>
      </c>
      <c r="F16" s="231">
        <v>0</v>
      </c>
      <c r="G16" s="228"/>
      <c r="H16" s="230">
        <f>H7+H14</f>
        <v>7000</v>
      </c>
      <c r="I16" s="230">
        <f>I7+I14</f>
        <v>12216.58</v>
      </c>
      <c r="J16" s="231">
        <v>0</v>
      </c>
      <c r="K16" s="228"/>
      <c r="L16" s="230">
        <f>L7+L14</f>
        <v>7000</v>
      </c>
      <c r="M16" s="230">
        <f>M7+M14</f>
        <v>55580.4</v>
      </c>
      <c r="N16" s="231">
        <v>0</v>
      </c>
      <c r="O16" s="228"/>
      <c r="P16" s="230">
        <f>P7+P14</f>
        <v>7000</v>
      </c>
      <c r="Q16" s="230">
        <f>Q7+Q14</f>
        <v>99431.39</v>
      </c>
      <c r="R16" s="231">
        <v>0</v>
      </c>
      <c r="S16" s="228"/>
      <c r="T16" s="230">
        <f>T7+T14</f>
        <v>7000</v>
      </c>
      <c r="U16" s="230">
        <f>U7+U14</f>
        <v>97957.03</v>
      </c>
      <c r="V16" s="231">
        <v>0</v>
      </c>
      <c r="W16" s="228"/>
      <c r="X16" s="230">
        <f>X7+X14</f>
        <v>7000</v>
      </c>
      <c r="Y16" s="230">
        <f>Y7+Y14</f>
        <v>67135.63</v>
      </c>
      <c r="Z16" s="231">
        <f>(X16-T16)/T16</f>
        <v>0</v>
      </c>
      <c r="AA16" s="228"/>
      <c r="AB16" s="230">
        <f>AB7+AB14</f>
        <v>30000</v>
      </c>
      <c r="AC16" s="230">
        <f>AC7+AC14</f>
        <v>52532.539999999994</v>
      </c>
      <c r="AD16" s="231">
        <f>(AB16-X16)/X16</f>
        <v>3.2857142857142856</v>
      </c>
      <c r="AE16" s="228"/>
      <c r="AF16" s="230">
        <f>AF7+AF14</f>
        <v>30000</v>
      </c>
      <c r="AG16" s="230">
        <f>AG7+AG14</f>
        <v>30000</v>
      </c>
      <c r="AH16" s="230">
        <f>AH7+AH14</f>
        <v>75126.81</v>
      </c>
      <c r="AI16" s="231">
        <f t="shared" si="0"/>
        <v>0</v>
      </c>
      <c r="AJ16" s="231"/>
      <c r="AK16" s="402">
        <f>AK7+AK14</f>
        <v>30000</v>
      </c>
      <c r="AL16" s="402">
        <f>AL7+AL14</f>
        <v>448.76</v>
      </c>
      <c r="AM16" s="231">
        <f>(AK16-AG16)/AG16</f>
        <v>0</v>
      </c>
      <c r="AN16" s="228"/>
      <c r="AO16" s="232">
        <f>AO7+AO14</f>
        <v>30000</v>
      </c>
      <c r="AP16" s="230">
        <f>AP7+AP14</f>
        <v>0</v>
      </c>
      <c r="AQ16" s="231">
        <f>AP16/AG16</f>
        <v>0</v>
      </c>
      <c r="AR16" s="233"/>
    </row>
    <row r="17" spans="3:43" x14ac:dyDescent="0.25">
      <c r="D17" s="120"/>
      <c r="H17" s="120"/>
      <c r="L17" s="120"/>
      <c r="P17" s="120"/>
      <c r="T17" s="120"/>
      <c r="X17" s="120"/>
      <c r="AB17" s="120"/>
      <c r="AF17" s="120"/>
      <c r="AG17" s="120"/>
      <c r="AK17" s="403"/>
    </row>
    <row r="18" spans="3:43" s="111" customFormat="1" thickBot="1" x14ac:dyDescent="0.25">
      <c r="C18" s="111" t="s">
        <v>281</v>
      </c>
      <c r="D18" s="122"/>
      <c r="E18" s="121">
        <f>D16-E16</f>
        <v>-40375.160000000003</v>
      </c>
      <c r="G18" s="118"/>
      <c r="H18" s="122"/>
      <c r="I18" s="121">
        <f>H16-I16</f>
        <v>-5216.58</v>
      </c>
      <c r="K18" s="118"/>
      <c r="L18" s="122"/>
      <c r="M18" s="121">
        <f>L16-M16</f>
        <v>-48580.4</v>
      </c>
      <c r="O18" s="118"/>
      <c r="P18" s="122"/>
      <c r="Q18" s="121">
        <f>P16-Q16</f>
        <v>-92431.39</v>
      </c>
      <c r="S18" s="118"/>
      <c r="T18" s="122"/>
      <c r="U18" s="121">
        <f>T16-U16</f>
        <v>-90957.03</v>
      </c>
      <c r="W18" s="118"/>
      <c r="X18" s="122"/>
      <c r="Y18" s="121">
        <f>X16-Y16</f>
        <v>-60135.630000000005</v>
      </c>
      <c r="AA18" s="118"/>
      <c r="AB18" s="122"/>
      <c r="AC18" s="121">
        <f>AB16-AC16</f>
        <v>-22532.539999999994</v>
      </c>
      <c r="AE18" s="118"/>
      <c r="AF18" s="122"/>
      <c r="AG18" s="122"/>
      <c r="AH18" s="121">
        <f>AG16-AH16</f>
        <v>-45126.81</v>
      </c>
      <c r="AK18" s="122"/>
      <c r="AL18" s="121">
        <f>AK16-AL16</f>
        <v>29551.24</v>
      </c>
      <c r="AN18" s="118"/>
      <c r="AO18" s="123"/>
      <c r="AP18" s="123"/>
    </row>
    <row r="19" spans="3:43" ht="14.25" thickTop="1" x14ac:dyDescent="0.25">
      <c r="D19" s="120"/>
      <c r="F19" s="216"/>
      <c r="H19" s="120"/>
      <c r="J19" s="216"/>
      <c r="L19" s="120"/>
      <c r="N19" s="216"/>
      <c r="P19" s="120"/>
      <c r="R19" s="216"/>
      <c r="T19" s="120"/>
      <c r="V19" s="80"/>
      <c r="X19" s="120"/>
      <c r="AB19" s="120"/>
      <c r="AF19" s="120"/>
      <c r="AG19" s="120"/>
      <c r="AK19" s="403"/>
    </row>
    <row r="20" spans="3:43" x14ac:dyDescent="0.25">
      <c r="D20" s="120"/>
      <c r="F20" s="216"/>
      <c r="H20" s="120"/>
      <c r="J20" s="216"/>
      <c r="L20" s="120"/>
      <c r="N20" s="216"/>
      <c r="P20" s="120"/>
      <c r="R20" s="216"/>
      <c r="T20" s="120"/>
      <c r="V20" s="80"/>
      <c r="X20" s="120"/>
      <c r="AB20" s="120"/>
      <c r="AF20" s="120"/>
      <c r="AG20" s="120"/>
      <c r="AK20" s="403"/>
      <c r="AO20" s="123" t="s">
        <v>1195</v>
      </c>
      <c r="AP20" s="123"/>
      <c r="AQ20" s="111"/>
    </row>
    <row r="21" spans="3:43" x14ac:dyDescent="0.25">
      <c r="D21" s="120"/>
      <c r="F21" s="216"/>
      <c r="H21" s="120"/>
      <c r="J21" s="216"/>
      <c r="L21" s="120"/>
      <c r="N21" s="216"/>
      <c r="P21" s="120"/>
      <c r="R21" s="216"/>
      <c r="T21" s="120"/>
      <c r="V21" s="80"/>
      <c r="X21" s="120"/>
      <c r="AB21" s="120"/>
      <c r="AF21" s="120"/>
      <c r="AG21" s="120"/>
      <c r="AK21" s="403"/>
      <c r="AO21" s="104" t="s">
        <v>313</v>
      </c>
      <c r="AQ21" s="784">
        <v>1803.1556780000001</v>
      </c>
    </row>
    <row r="22" spans="3:43" x14ac:dyDescent="0.25">
      <c r="D22" s="120"/>
      <c r="F22" s="216"/>
      <c r="H22" s="120"/>
      <c r="J22" s="216"/>
      <c r="L22" s="120"/>
      <c r="N22" s="216"/>
      <c r="P22" s="120"/>
      <c r="R22" s="216"/>
      <c r="T22" s="120"/>
      <c r="V22" s="80"/>
      <c r="X22" s="120"/>
      <c r="AB22" s="120"/>
      <c r="AF22" s="120"/>
      <c r="AG22" s="120"/>
      <c r="AK22" s="403"/>
      <c r="AO22" s="104" t="s">
        <v>314</v>
      </c>
      <c r="AQ22" s="784">
        <v>111.92000759999999</v>
      </c>
    </row>
    <row r="23" spans="3:43" x14ac:dyDescent="0.25">
      <c r="D23" s="120"/>
      <c r="F23" s="216"/>
      <c r="H23" s="120"/>
      <c r="J23" s="216"/>
      <c r="L23" s="120"/>
      <c r="N23" s="216"/>
      <c r="P23" s="120"/>
      <c r="R23" s="216"/>
      <c r="T23" s="120"/>
      <c r="V23" s="80"/>
      <c r="X23" s="120"/>
      <c r="AB23" s="120"/>
      <c r="AF23" s="120"/>
      <c r="AG23" s="120"/>
      <c r="AK23" s="403"/>
      <c r="AO23" s="104" t="s">
        <v>315</v>
      </c>
      <c r="AQ23" s="784">
        <v>373.06669199999999</v>
      </c>
    </row>
    <row r="24" spans="3:43" x14ac:dyDescent="0.25">
      <c r="D24" s="120"/>
      <c r="F24" s="216"/>
      <c r="H24" s="120"/>
      <c r="J24" s="216"/>
      <c r="L24" s="120"/>
      <c r="N24" s="216"/>
      <c r="P24" s="120"/>
      <c r="R24" s="216"/>
      <c r="T24" s="120"/>
      <c r="V24" s="80"/>
      <c r="X24" s="120"/>
      <c r="AB24" s="120"/>
      <c r="AF24" s="120"/>
      <c r="AG24" s="120"/>
      <c r="AK24" s="403"/>
      <c r="AO24" s="104" t="s">
        <v>316</v>
      </c>
      <c r="AQ24" s="784">
        <v>11717.797650653083</v>
      </c>
    </row>
    <row r="25" spans="3:43" x14ac:dyDescent="0.25">
      <c r="D25" s="120"/>
      <c r="F25" s="216"/>
      <c r="H25" s="120"/>
      <c r="J25" s="216"/>
      <c r="L25" s="120"/>
      <c r="N25" s="216"/>
      <c r="P25" s="120"/>
      <c r="R25" s="216"/>
      <c r="T25" s="120"/>
      <c r="V25" s="80"/>
      <c r="X25" s="120"/>
      <c r="AB25" s="120"/>
      <c r="AF25" s="120"/>
      <c r="AG25" s="120"/>
      <c r="AK25" s="403"/>
      <c r="AO25" s="104" t="s">
        <v>317</v>
      </c>
      <c r="AQ25" s="785">
        <v>29062.799999999999</v>
      </c>
    </row>
    <row r="26" spans="3:43" x14ac:dyDescent="0.25">
      <c r="D26" s="120"/>
      <c r="F26" s="216"/>
      <c r="H26" s="120"/>
      <c r="J26" s="216"/>
      <c r="L26" s="120"/>
      <c r="N26" s="216"/>
      <c r="P26" s="120"/>
      <c r="R26" s="216"/>
      <c r="T26" s="120"/>
      <c r="V26" s="80"/>
      <c r="X26" s="120"/>
      <c r="AB26" s="120"/>
      <c r="AF26" s="120"/>
      <c r="AG26" s="120"/>
      <c r="AK26" s="403"/>
      <c r="AQ26" s="784">
        <v>43068.740028253087</v>
      </c>
    </row>
    <row r="27" spans="3:43" x14ac:dyDescent="0.25">
      <c r="D27" s="120"/>
      <c r="F27" s="216"/>
      <c r="H27" s="120"/>
      <c r="J27" s="216"/>
      <c r="L27" s="120"/>
      <c r="N27" s="216"/>
      <c r="P27" s="120"/>
      <c r="R27" s="216"/>
      <c r="T27" s="120"/>
      <c r="V27" s="80"/>
      <c r="X27" s="120"/>
      <c r="AB27" s="120"/>
      <c r="AF27" s="120"/>
      <c r="AG27" s="120"/>
      <c r="AK27" s="403"/>
    </row>
    <row r="28" spans="3:43" x14ac:dyDescent="0.25">
      <c r="D28" s="120"/>
      <c r="F28" s="216"/>
      <c r="H28" s="120"/>
      <c r="J28" s="216"/>
      <c r="L28" s="120"/>
      <c r="N28" s="216"/>
      <c r="P28" s="120"/>
      <c r="R28" s="216"/>
      <c r="T28" s="120"/>
      <c r="V28" s="80"/>
      <c r="X28" s="120"/>
      <c r="AB28" s="120"/>
      <c r="AF28" s="120"/>
      <c r="AG28" s="120"/>
      <c r="AK28" s="403"/>
      <c r="AO28" s="104">
        <v>-30050</v>
      </c>
      <c r="AP28" s="104" t="s">
        <v>1446</v>
      </c>
    </row>
    <row r="29" spans="3:43" x14ac:dyDescent="0.25">
      <c r="D29" s="120"/>
      <c r="F29" s="216"/>
      <c r="H29" s="120"/>
      <c r="J29" s="216"/>
      <c r="L29" s="120"/>
      <c r="N29" s="216"/>
      <c r="P29" s="120"/>
      <c r="R29" s="216"/>
      <c r="T29" s="120"/>
      <c r="V29" s="80"/>
      <c r="X29" s="120"/>
      <c r="AB29" s="120"/>
      <c r="AF29" s="120"/>
      <c r="AG29" s="120"/>
      <c r="AK29" s="403"/>
    </row>
    <row r="30" spans="3:43" x14ac:dyDescent="0.25">
      <c r="D30" s="120"/>
      <c r="F30" s="216"/>
      <c r="H30" s="120"/>
      <c r="J30" s="216"/>
      <c r="L30" s="120"/>
      <c r="N30" s="216"/>
      <c r="P30" s="120"/>
      <c r="R30" s="216"/>
      <c r="T30" s="120"/>
      <c r="V30" s="80"/>
      <c r="X30" s="120"/>
      <c r="AB30" s="120"/>
      <c r="AF30" s="120"/>
      <c r="AG30" s="120"/>
      <c r="AK30" s="403"/>
    </row>
    <row r="31" spans="3:43" x14ac:dyDescent="0.25">
      <c r="D31" s="120"/>
      <c r="F31" s="216"/>
      <c r="H31" s="120"/>
      <c r="J31" s="216"/>
      <c r="L31" s="120"/>
      <c r="N31" s="216"/>
      <c r="P31" s="120"/>
      <c r="R31" s="216"/>
      <c r="T31" s="120"/>
      <c r="V31" s="80"/>
      <c r="X31" s="120"/>
      <c r="AB31" s="120"/>
      <c r="AF31" s="120"/>
      <c r="AG31" s="120"/>
      <c r="AK31" s="403"/>
    </row>
    <row r="32" spans="3:43" x14ac:dyDescent="0.25">
      <c r="D32" s="120"/>
      <c r="F32" s="216"/>
      <c r="H32" s="120"/>
      <c r="J32" s="216"/>
      <c r="L32" s="120"/>
      <c r="N32" s="216"/>
      <c r="P32" s="120"/>
      <c r="R32" s="216"/>
      <c r="T32" s="120"/>
      <c r="V32" s="80"/>
      <c r="X32" s="120"/>
      <c r="AB32" s="120"/>
      <c r="AF32" s="120"/>
      <c r="AG32" s="120"/>
      <c r="AK32" s="403"/>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F38" s="216"/>
      <c r="H38" s="120"/>
      <c r="J38" s="216"/>
      <c r="L38" s="120"/>
      <c r="N38" s="216"/>
      <c r="P38" s="120"/>
      <c r="R38" s="216"/>
      <c r="T38" s="120"/>
      <c r="V38" s="80"/>
      <c r="X38" s="120"/>
      <c r="AB38" s="120"/>
      <c r="AF38" s="120"/>
      <c r="AG38" s="120"/>
      <c r="AK38" s="403"/>
    </row>
    <row r="39" spans="4:37" x14ac:dyDescent="0.25">
      <c r="D39" s="120"/>
      <c r="F39" s="216"/>
      <c r="H39" s="120"/>
      <c r="J39" s="216"/>
      <c r="L39" s="120"/>
      <c r="N39" s="216"/>
      <c r="P39" s="120"/>
      <c r="R39" s="216"/>
      <c r="T39" s="120"/>
      <c r="V39" s="80"/>
      <c r="X39" s="120"/>
      <c r="AB39" s="120"/>
      <c r="AF39" s="120"/>
      <c r="AG39" s="120"/>
      <c r="AK39" s="403"/>
    </row>
    <row r="40" spans="4:37" x14ac:dyDescent="0.25">
      <c r="D40" s="120"/>
      <c r="F40" s="216"/>
      <c r="H40" s="120"/>
      <c r="J40" s="216"/>
      <c r="L40" s="120"/>
      <c r="N40" s="216"/>
      <c r="P40" s="120"/>
      <c r="R40" s="216"/>
      <c r="T40" s="120"/>
      <c r="V40" s="8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0" orientation="landscape" r:id="rId1"/>
  <headerFooter alignWithMargins="0">
    <oddHeader>&amp;C&amp;"-,Bold"Proposed Budget &amp; Analysis Report for FY20</oddHeader>
    <oddFooter>&amp;C&amp;D&amp;T&amp;R&amp;A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N153"/>
  <sheetViews>
    <sheetView zoomScaleNormal="100" zoomScaleSheetLayoutView="100" workbookViewId="0">
      <selection sqref="A1:I1"/>
    </sheetView>
  </sheetViews>
  <sheetFormatPr defaultColWidth="13.28515625" defaultRowHeight="17.25" x14ac:dyDescent="0.3"/>
  <cols>
    <col min="1" max="1" width="7" style="578" customWidth="1"/>
    <col min="2" max="2" width="27.85546875" style="579" customWidth="1"/>
    <col min="3" max="3" width="41.42578125" style="579" customWidth="1"/>
    <col min="4" max="4" width="12" style="611" customWidth="1"/>
    <col min="5" max="5" width="12" style="676" customWidth="1"/>
    <col min="6" max="6" width="12" style="662" customWidth="1"/>
    <col min="7" max="8" width="0" style="607" hidden="1" customWidth="1"/>
    <col min="9" max="9" width="0" style="677" hidden="1" customWidth="1"/>
    <col min="10" max="10" width="19" style="608" customWidth="1"/>
    <col min="11" max="11" width="13.28515625" style="607"/>
    <col min="12" max="12" width="13.28515625" style="599"/>
    <col min="13" max="13" width="15.28515625" style="611" customWidth="1"/>
    <col min="14" max="14" width="13.28515625" style="611" customWidth="1"/>
    <col min="15" max="16384" width="13.28515625" style="579"/>
  </cols>
  <sheetData>
    <row r="1" spans="1:40" x14ac:dyDescent="0.3">
      <c r="B1" s="791" t="s">
        <v>2124</v>
      </c>
      <c r="C1" s="791"/>
      <c r="D1" s="791"/>
      <c r="E1" s="791"/>
      <c r="F1" s="791"/>
      <c r="G1" s="791"/>
      <c r="H1" s="791"/>
      <c r="I1" s="791"/>
      <c r="J1" s="791"/>
      <c r="K1" s="791"/>
      <c r="L1" s="791"/>
      <c r="M1" s="791"/>
      <c r="N1" s="791"/>
    </row>
    <row r="2" spans="1:40" ht="51.75" x14ac:dyDescent="0.3">
      <c r="A2" s="580" t="s">
        <v>1344</v>
      </c>
      <c r="B2" s="581" t="s">
        <v>1063</v>
      </c>
      <c r="C2" s="582" t="s">
        <v>102</v>
      </c>
      <c r="D2" s="583" t="s">
        <v>2125</v>
      </c>
      <c r="E2" s="584" t="s">
        <v>99</v>
      </c>
      <c r="F2" s="585" t="s">
        <v>1141</v>
      </c>
      <c r="G2" s="586" t="s">
        <v>1054</v>
      </c>
      <c r="H2" s="586" t="s">
        <v>1055</v>
      </c>
      <c r="I2" s="587" t="s">
        <v>100</v>
      </c>
      <c r="J2" s="588" t="s">
        <v>101</v>
      </c>
      <c r="K2" s="586" t="s">
        <v>1700</v>
      </c>
      <c r="L2" s="589" t="s">
        <v>2127</v>
      </c>
      <c r="M2" s="586" t="s">
        <v>2128</v>
      </c>
      <c r="N2" s="590" t="s">
        <v>2129</v>
      </c>
    </row>
    <row r="3" spans="1:40" x14ac:dyDescent="0.3">
      <c r="A3" s="578">
        <v>122</v>
      </c>
      <c r="B3" s="591" t="s">
        <v>29</v>
      </c>
      <c r="C3" s="579" t="s">
        <v>30</v>
      </c>
      <c r="D3" s="592" t="s">
        <v>1701</v>
      </c>
      <c r="E3" s="593"/>
      <c r="F3" s="594">
        <v>40</v>
      </c>
      <c r="G3" s="595">
        <f>E3*F3</f>
        <v>0</v>
      </c>
      <c r="H3" s="595">
        <f>G3*2</f>
        <v>0</v>
      </c>
      <c r="I3" s="596">
        <f>G3*52.2</f>
        <v>0</v>
      </c>
      <c r="J3" s="597">
        <v>123842.5</v>
      </c>
      <c r="K3" s="598">
        <f>J3*L3</f>
        <v>4953.7</v>
      </c>
      <c r="L3" s="599">
        <v>0.04</v>
      </c>
      <c r="M3" s="600">
        <v>31199</v>
      </c>
      <c r="N3" s="601">
        <f>P3</f>
        <v>35</v>
      </c>
      <c r="O3" s="602">
        <v>44012</v>
      </c>
      <c r="P3" s="603">
        <f>DATEDIF(M3,O3,"Y")</f>
        <v>35</v>
      </c>
    </row>
    <row r="4" spans="1:40" x14ac:dyDescent="0.3">
      <c r="B4" s="591" t="s">
        <v>31</v>
      </c>
      <c r="C4" s="579" t="s">
        <v>32</v>
      </c>
      <c r="D4" s="592" t="s">
        <v>1702</v>
      </c>
      <c r="E4" s="593">
        <v>35.6</v>
      </c>
      <c r="F4" s="594">
        <v>40</v>
      </c>
      <c r="G4" s="595">
        <f>E4*F4</f>
        <v>1424</v>
      </c>
      <c r="H4" s="595">
        <f>G4*2</f>
        <v>2848</v>
      </c>
      <c r="I4" s="596">
        <f>G4*52.2</f>
        <v>74332.800000000003</v>
      </c>
      <c r="J4" s="597">
        <f>I4</f>
        <v>74332.800000000003</v>
      </c>
      <c r="K4" s="598">
        <f>J4*L4</f>
        <v>743.32800000000009</v>
      </c>
      <c r="L4" s="599">
        <v>0.01</v>
      </c>
      <c r="M4" s="604">
        <v>40290</v>
      </c>
      <c r="N4" s="601">
        <f>P4</f>
        <v>10</v>
      </c>
      <c r="O4" s="602">
        <v>44012</v>
      </c>
      <c r="P4" s="603">
        <f>DATEDIF(M4,O4,"Y")</f>
        <v>10</v>
      </c>
    </row>
    <row r="5" spans="1:40" x14ac:dyDescent="0.3">
      <c r="B5" s="591" t="s">
        <v>33</v>
      </c>
      <c r="C5" s="579" t="s">
        <v>34</v>
      </c>
      <c r="D5" s="592" t="s">
        <v>1052</v>
      </c>
      <c r="E5" s="593">
        <v>50.38</v>
      </c>
      <c r="F5" s="594">
        <v>2.5</v>
      </c>
      <c r="G5" s="595">
        <f>E5*F5</f>
        <v>125.95</v>
      </c>
      <c r="H5" s="595">
        <f>G5*2</f>
        <v>251.9</v>
      </c>
      <c r="I5" s="596">
        <f>G5*52.2</f>
        <v>6574.59</v>
      </c>
      <c r="J5" s="597">
        <f>I5</f>
        <v>6574.59</v>
      </c>
      <c r="K5" s="598">
        <f>J5*L5</f>
        <v>65.745900000000006</v>
      </c>
      <c r="L5" s="599">
        <v>0.01</v>
      </c>
      <c r="M5" s="605">
        <v>38534</v>
      </c>
      <c r="N5" s="601">
        <f>P5</f>
        <v>14</v>
      </c>
      <c r="O5" s="602">
        <v>44012</v>
      </c>
      <c r="P5" s="603">
        <f>DATEDIF(M5,O5,"Y")</f>
        <v>14</v>
      </c>
    </row>
    <row r="6" spans="1:40" x14ac:dyDescent="0.3">
      <c r="B6" s="591" t="s">
        <v>1340</v>
      </c>
      <c r="C6" s="579" t="s">
        <v>1341</v>
      </c>
      <c r="D6" s="592"/>
      <c r="E6" s="593"/>
      <c r="F6" s="594"/>
      <c r="G6" s="595"/>
      <c r="H6" s="595"/>
      <c r="I6" s="596"/>
      <c r="J6" s="597">
        <v>4500</v>
      </c>
      <c r="K6" s="680">
        <v>3000</v>
      </c>
      <c r="L6" s="682" t="s">
        <v>2137</v>
      </c>
      <c r="M6" s="683"/>
      <c r="N6" s="684"/>
      <c r="O6" s="602"/>
      <c r="P6" s="603"/>
    </row>
    <row r="7" spans="1:40" x14ac:dyDescent="0.3">
      <c r="B7" s="591" t="s">
        <v>35</v>
      </c>
      <c r="C7" s="579" t="s">
        <v>882</v>
      </c>
      <c r="D7" s="592" t="s">
        <v>1345</v>
      </c>
      <c r="E7" s="593">
        <v>20.05</v>
      </c>
      <c r="F7" s="594"/>
      <c r="G7" s="595"/>
      <c r="H7" s="595"/>
      <c r="I7" s="596"/>
      <c r="J7" s="597">
        <v>3500</v>
      </c>
      <c r="M7" s="604"/>
      <c r="N7" s="601"/>
      <c r="O7" s="602"/>
      <c r="P7" s="603"/>
    </row>
    <row r="8" spans="1:40" x14ac:dyDescent="0.3">
      <c r="B8" s="591" t="s">
        <v>880</v>
      </c>
      <c r="C8" s="579" t="s">
        <v>883</v>
      </c>
      <c r="D8" s="592"/>
      <c r="E8" s="593"/>
      <c r="F8" s="594"/>
      <c r="G8" s="595"/>
      <c r="H8" s="595"/>
      <c r="I8" s="596"/>
      <c r="J8" s="597">
        <v>3500</v>
      </c>
      <c r="M8" s="604"/>
      <c r="N8" s="601"/>
      <c r="O8" s="602"/>
      <c r="P8" s="603"/>
    </row>
    <row r="9" spans="1:40" x14ac:dyDescent="0.3">
      <c r="D9" s="592"/>
      <c r="E9" s="593"/>
      <c r="F9" s="594"/>
      <c r="G9" s="595"/>
      <c r="H9" s="595"/>
      <c r="I9" s="596"/>
      <c r="M9" s="604"/>
      <c r="N9" s="601"/>
      <c r="O9" s="602"/>
      <c r="P9" s="603"/>
    </row>
    <row r="10" spans="1:40" x14ac:dyDescent="0.3">
      <c r="A10" s="578">
        <v>135</v>
      </c>
      <c r="B10" s="591" t="s">
        <v>217</v>
      </c>
      <c r="C10" s="579" t="s">
        <v>36</v>
      </c>
      <c r="D10" s="592" t="s">
        <v>1348</v>
      </c>
      <c r="E10" s="593">
        <v>45.44</v>
      </c>
      <c r="F10" s="594">
        <v>37.5</v>
      </c>
      <c r="G10" s="595">
        <f t="shared" ref="G10:G23" si="0">E10*F10</f>
        <v>1704</v>
      </c>
      <c r="H10" s="595">
        <f>G10*2</f>
        <v>3408</v>
      </c>
      <c r="I10" s="596">
        <f>G10*52.2</f>
        <v>88948.800000000003</v>
      </c>
      <c r="J10" s="597">
        <f>I10</f>
        <v>88948.800000000003</v>
      </c>
      <c r="M10" s="609">
        <v>41352</v>
      </c>
      <c r="N10" s="601">
        <f>P10</f>
        <v>7</v>
      </c>
      <c r="O10" s="602">
        <v>44012</v>
      </c>
      <c r="P10" s="603">
        <f>DATEDIF(M10,O10,"Y")</f>
        <v>7</v>
      </c>
    </row>
    <row r="11" spans="1:40" x14ac:dyDescent="0.3">
      <c r="B11" s="591" t="s">
        <v>1128</v>
      </c>
      <c r="C11" s="579" t="s">
        <v>1230</v>
      </c>
      <c r="D11" s="592" t="s">
        <v>1040</v>
      </c>
      <c r="E11" s="593">
        <v>27.91</v>
      </c>
      <c r="F11" s="594">
        <v>8</v>
      </c>
      <c r="G11" s="595">
        <f t="shared" si="0"/>
        <v>223.28</v>
      </c>
      <c r="H11" s="595">
        <f>G11*2</f>
        <v>446.56</v>
      </c>
      <c r="I11" s="596">
        <f>G11*52.2</f>
        <v>11655.216</v>
      </c>
      <c r="J11" s="610">
        <f>I11</f>
        <v>11655.216</v>
      </c>
      <c r="M11" s="604"/>
      <c r="N11" s="601"/>
      <c r="O11" s="602"/>
      <c r="P11" s="603"/>
    </row>
    <row r="12" spans="1:40" x14ac:dyDescent="0.3">
      <c r="D12" s="592"/>
      <c r="E12" s="593"/>
      <c r="F12" s="594"/>
      <c r="G12" s="595"/>
      <c r="H12" s="595"/>
      <c r="I12" s="596"/>
      <c r="J12" s="608" t="s">
        <v>6</v>
      </c>
      <c r="N12" s="601"/>
      <c r="O12" s="602"/>
      <c r="P12" s="603"/>
    </row>
    <row r="13" spans="1:40" x14ac:dyDescent="0.3">
      <c r="A13" s="578">
        <v>141</v>
      </c>
      <c r="B13" s="591" t="s">
        <v>37</v>
      </c>
      <c r="C13" s="579" t="s">
        <v>38</v>
      </c>
      <c r="D13" s="592" t="s">
        <v>1703</v>
      </c>
      <c r="E13" s="593">
        <v>48.68</v>
      </c>
      <c r="F13" s="594">
        <v>38.5</v>
      </c>
      <c r="G13" s="595">
        <f>E13*F13</f>
        <v>1874.18</v>
      </c>
      <c r="H13" s="595">
        <f>G13*2</f>
        <v>3748.36</v>
      </c>
      <c r="I13" s="596">
        <f>G13*52.2</f>
        <v>97832.196000000011</v>
      </c>
      <c r="J13" s="597">
        <f>I13</f>
        <v>97832.196000000011</v>
      </c>
      <c r="K13" s="598">
        <f>J13*L13</f>
        <v>2934.9658800000002</v>
      </c>
      <c r="L13" s="599">
        <v>0.03</v>
      </c>
      <c r="M13" s="609">
        <v>36130</v>
      </c>
      <c r="N13" s="601">
        <f>P13</f>
        <v>21</v>
      </c>
      <c r="O13" s="602">
        <v>44012</v>
      </c>
      <c r="P13" s="603">
        <f>DATEDIF(M13,O13,"Y")</f>
        <v>21</v>
      </c>
      <c r="AN13" s="579" t="s">
        <v>1472</v>
      </c>
    </row>
    <row r="14" spans="1:40" x14ac:dyDescent="0.3">
      <c r="B14" s="591" t="s">
        <v>1340</v>
      </c>
      <c r="C14" s="579" t="s">
        <v>1342</v>
      </c>
      <c r="D14" s="592"/>
      <c r="E14" s="593"/>
      <c r="F14" s="594"/>
      <c r="G14" s="595"/>
      <c r="H14" s="595"/>
      <c r="I14" s="596"/>
      <c r="J14" s="610">
        <v>1500</v>
      </c>
      <c r="K14" s="598"/>
      <c r="M14" s="604"/>
      <c r="N14" s="601"/>
      <c r="O14" s="602"/>
      <c r="P14" s="603"/>
    </row>
    <row r="15" spans="1:40" x14ac:dyDescent="0.3">
      <c r="B15" s="591" t="s">
        <v>1231</v>
      </c>
      <c r="C15" s="579" t="s">
        <v>1232</v>
      </c>
      <c r="D15" s="592" t="s">
        <v>1250</v>
      </c>
      <c r="E15" s="593">
        <v>20.76</v>
      </c>
      <c r="F15" s="594">
        <v>194</v>
      </c>
      <c r="G15" s="595">
        <f t="shared" si="0"/>
        <v>4027.4400000000005</v>
      </c>
      <c r="H15" s="595"/>
      <c r="I15" s="596"/>
      <c r="J15" s="610">
        <f>G15</f>
        <v>4027.4400000000005</v>
      </c>
      <c r="K15" s="598"/>
      <c r="M15" s="604"/>
      <c r="N15" s="601"/>
      <c r="O15" s="602"/>
      <c r="P15" s="603"/>
    </row>
    <row r="16" spans="1:40" x14ac:dyDescent="0.3">
      <c r="D16" s="592"/>
      <c r="E16" s="593"/>
      <c r="F16" s="594"/>
      <c r="G16" s="595"/>
      <c r="H16" s="595"/>
      <c r="I16" s="596"/>
      <c r="J16" s="608" t="s">
        <v>6</v>
      </c>
      <c r="N16" s="601"/>
      <c r="O16" s="602"/>
      <c r="P16" s="603"/>
    </row>
    <row r="17" spans="1:16" x14ac:dyDescent="0.3">
      <c r="A17" s="578">
        <v>145</v>
      </c>
      <c r="B17" s="591" t="s">
        <v>39</v>
      </c>
      <c r="C17" s="579" t="s">
        <v>40</v>
      </c>
      <c r="D17" s="592" t="s">
        <v>1052</v>
      </c>
      <c r="E17" s="593">
        <v>50.38</v>
      </c>
      <c r="F17" s="594">
        <v>40</v>
      </c>
      <c r="G17" s="595">
        <f t="shared" si="0"/>
        <v>2015.2</v>
      </c>
      <c r="H17" s="595">
        <f>G17*2</f>
        <v>4030.4</v>
      </c>
      <c r="I17" s="596">
        <f>G17*52.2</f>
        <v>105193.44</v>
      </c>
      <c r="J17" s="597">
        <f>I17</f>
        <v>105193.44</v>
      </c>
      <c r="K17" s="598">
        <f>J17*L17</f>
        <v>3155.8031999999998</v>
      </c>
      <c r="L17" s="599">
        <v>0.03</v>
      </c>
      <c r="M17" s="609">
        <v>36647</v>
      </c>
      <c r="N17" s="601">
        <f>P17</f>
        <v>20</v>
      </c>
      <c r="O17" s="602">
        <v>44012</v>
      </c>
      <c r="P17" s="603">
        <f>DATEDIF(M17,O17,"Y")</f>
        <v>20</v>
      </c>
    </row>
    <row r="18" spans="1:16" x14ac:dyDescent="0.3">
      <c r="D18" s="592"/>
      <c r="E18" s="593"/>
      <c r="F18" s="594"/>
      <c r="G18" s="595"/>
      <c r="H18" s="595"/>
      <c r="I18" s="596"/>
      <c r="J18" s="608" t="s">
        <v>6</v>
      </c>
      <c r="N18" s="601"/>
      <c r="O18" s="602"/>
      <c r="P18" s="603"/>
    </row>
    <row r="19" spans="1:16" x14ac:dyDescent="0.3">
      <c r="A19" s="578">
        <v>146</v>
      </c>
      <c r="B19" s="591" t="s">
        <v>42</v>
      </c>
      <c r="C19" s="579" t="s">
        <v>43</v>
      </c>
      <c r="D19" s="592" t="s">
        <v>1703</v>
      </c>
      <c r="E19" s="593">
        <v>48.68</v>
      </c>
      <c r="F19" s="594">
        <v>37.5</v>
      </c>
      <c r="G19" s="595">
        <f t="shared" si="0"/>
        <v>1825.5</v>
      </c>
      <c r="H19" s="595">
        <f>G19*2</f>
        <v>3651</v>
      </c>
      <c r="I19" s="596">
        <f>G19*52.2</f>
        <v>95291.1</v>
      </c>
      <c r="J19" s="597">
        <f>I19</f>
        <v>95291.1</v>
      </c>
      <c r="K19" s="598">
        <f>J19*L19</f>
        <v>952.91100000000006</v>
      </c>
      <c r="L19" s="599">
        <v>0.01</v>
      </c>
      <c r="M19" s="609">
        <v>39661</v>
      </c>
      <c r="N19" s="601">
        <f>P19</f>
        <v>11</v>
      </c>
      <c r="O19" s="602">
        <v>44012</v>
      </c>
      <c r="P19" s="603">
        <f>DATEDIF(M19,O19,"Y")</f>
        <v>11</v>
      </c>
    </row>
    <row r="20" spans="1:16" x14ac:dyDescent="0.3">
      <c r="D20" s="592"/>
      <c r="E20" s="593"/>
      <c r="F20" s="594"/>
      <c r="G20" s="595"/>
      <c r="H20" s="595"/>
      <c r="I20" s="596"/>
      <c r="J20" s="608" t="s">
        <v>6</v>
      </c>
      <c r="K20" s="607" t="s">
        <v>6</v>
      </c>
      <c r="N20" s="601"/>
      <c r="O20" s="602"/>
      <c r="P20" s="603"/>
    </row>
    <row r="21" spans="1:16" x14ac:dyDescent="0.3">
      <c r="A21" s="578">
        <v>152</v>
      </c>
      <c r="B21" s="591" t="s">
        <v>44</v>
      </c>
      <c r="C21" s="579" t="s">
        <v>1056</v>
      </c>
      <c r="D21" s="592" t="s">
        <v>1346</v>
      </c>
      <c r="E21" s="593">
        <v>47.03</v>
      </c>
      <c r="F21" s="594">
        <v>2</v>
      </c>
      <c r="G21" s="595">
        <f t="shared" si="0"/>
        <v>94.06</v>
      </c>
      <c r="H21" s="595">
        <f>G21*2</f>
        <v>188.12</v>
      </c>
      <c r="I21" s="596">
        <f>G21*52.2</f>
        <v>4909.9320000000007</v>
      </c>
      <c r="J21" s="597">
        <f>I21</f>
        <v>4909.9320000000007</v>
      </c>
      <c r="K21" s="598">
        <f>J21*L21</f>
        <v>49.099320000000006</v>
      </c>
      <c r="L21" s="599">
        <v>0.01</v>
      </c>
      <c r="M21" s="609">
        <v>40074</v>
      </c>
      <c r="N21" s="601">
        <f>P21</f>
        <v>10</v>
      </c>
      <c r="O21" s="602">
        <v>44012</v>
      </c>
      <c r="P21" s="603">
        <f>DATEDIF(M21,O21,"Y")</f>
        <v>10</v>
      </c>
    </row>
    <row r="22" spans="1:16" x14ac:dyDescent="0.3">
      <c r="D22" s="592"/>
      <c r="E22" s="593"/>
      <c r="F22" s="594"/>
      <c r="G22" s="595"/>
      <c r="H22" s="595"/>
      <c r="I22" s="596"/>
      <c r="J22" s="608" t="s">
        <v>6</v>
      </c>
      <c r="K22" s="607" t="s">
        <v>6</v>
      </c>
      <c r="N22" s="601"/>
      <c r="O22" s="602"/>
      <c r="P22" s="603"/>
    </row>
    <row r="23" spans="1:16" x14ac:dyDescent="0.3">
      <c r="A23" s="578">
        <v>161</v>
      </c>
      <c r="B23" s="591" t="s">
        <v>44</v>
      </c>
      <c r="C23" s="579" t="s">
        <v>45</v>
      </c>
      <c r="D23" s="592" t="s">
        <v>1346</v>
      </c>
      <c r="E23" s="593">
        <v>47.03</v>
      </c>
      <c r="F23" s="594">
        <v>21</v>
      </c>
      <c r="G23" s="595">
        <f t="shared" si="0"/>
        <v>987.63</v>
      </c>
      <c r="H23" s="595">
        <f>G23*2</f>
        <v>1975.26</v>
      </c>
      <c r="I23" s="596">
        <f>G23*52.2</f>
        <v>51554.286</v>
      </c>
      <c r="J23" s="597">
        <f>I23</f>
        <v>51554.286</v>
      </c>
      <c r="K23" s="598">
        <f>J23*L23</f>
        <v>515.54286000000002</v>
      </c>
      <c r="L23" s="599">
        <v>0.01</v>
      </c>
      <c r="M23" s="609">
        <v>40074</v>
      </c>
      <c r="N23" s="601">
        <f>P23</f>
        <v>10</v>
      </c>
      <c r="O23" s="602">
        <v>44012</v>
      </c>
      <c r="P23" s="603">
        <f>DATEDIF(M23,O23,"Y")</f>
        <v>10</v>
      </c>
    </row>
    <row r="24" spans="1:16" x14ac:dyDescent="0.3">
      <c r="D24" s="592"/>
      <c r="E24" s="593"/>
      <c r="F24" s="594"/>
      <c r="G24" s="595"/>
      <c r="H24" s="595"/>
      <c r="I24" s="596"/>
      <c r="N24" s="601"/>
      <c r="O24" s="602"/>
      <c r="P24" s="603"/>
    </row>
    <row r="25" spans="1:16" x14ac:dyDescent="0.3">
      <c r="A25" s="578">
        <v>171</v>
      </c>
      <c r="B25" s="591" t="s">
        <v>33</v>
      </c>
      <c r="C25" s="579" t="s">
        <v>1058</v>
      </c>
      <c r="D25" s="592" t="s">
        <v>1052</v>
      </c>
      <c r="E25" s="593">
        <v>50.38</v>
      </c>
      <c r="F25" s="594">
        <v>15</v>
      </c>
      <c r="G25" s="595">
        <f>E25*F25</f>
        <v>755.7</v>
      </c>
      <c r="H25" s="595">
        <f>G25*2</f>
        <v>1511.4</v>
      </c>
      <c r="I25" s="596">
        <f>G25*52.2</f>
        <v>39447.540000000008</v>
      </c>
      <c r="J25" s="597">
        <f>I25</f>
        <v>39447.540000000008</v>
      </c>
      <c r="K25" s="598">
        <f>J25*L25</f>
        <v>394.47540000000009</v>
      </c>
      <c r="L25" s="599">
        <v>0.01</v>
      </c>
      <c r="M25" s="609">
        <v>38534</v>
      </c>
      <c r="N25" s="601">
        <f>P25</f>
        <v>14</v>
      </c>
      <c r="O25" s="602">
        <v>44012</v>
      </c>
      <c r="P25" s="603">
        <f>DATEDIF(M25,O25,"Y")</f>
        <v>14</v>
      </c>
    </row>
    <row r="26" spans="1:16" x14ac:dyDescent="0.3">
      <c r="B26" s="591" t="s">
        <v>33</v>
      </c>
      <c r="C26" s="579" t="s">
        <v>1343</v>
      </c>
      <c r="D26" s="592" t="s">
        <v>1052</v>
      </c>
      <c r="E26" s="593">
        <v>50.38</v>
      </c>
      <c r="F26" s="594"/>
      <c r="G26" s="595"/>
      <c r="H26" s="595"/>
      <c r="I26" s="596"/>
      <c r="J26" s="610">
        <v>5000</v>
      </c>
      <c r="K26" s="598"/>
      <c r="M26" s="609">
        <v>38534</v>
      </c>
      <c r="N26" s="601">
        <f>P26</f>
        <v>14</v>
      </c>
      <c r="O26" s="602">
        <v>44012</v>
      </c>
      <c r="P26" s="603">
        <f>DATEDIF(M26,O26,"Y")</f>
        <v>14</v>
      </c>
    </row>
    <row r="27" spans="1:16" x14ac:dyDescent="0.3">
      <c r="D27" s="592"/>
      <c r="E27" s="593"/>
      <c r="F27" s="594"/>
      <c r="G27" s="595"/>
      <c r="H27" s="595"/>
      <c r="I27" s="596"/>
      <c r="J27" s="608" t="s">
        <v>6</v>
      </c>
      <c r="N27" s="601"/>
      <c r="O27" s="602"/>
      <c r="P27" s="603"/>
    </row>
    <row r="28" spans="1:16" x14ac:dyDescent="0.3">
      <c r="A28" s="578">
        <v>175</v>
      </c>
      <c r="B28" s="591" t="s">
        <v>44</v>
      </c>
      <c r="C28" s="579" t="s">
        <v>1057</v>
      </c>
      <c r="D28" s="592" t="s">
        <v>1346</v>
      </c>
      <c r="E28" s="593">
        <v>47.03</v>
      </c>
      <c r="F28" s="594">
        <v>14</v>
      </c>
      <c r="G28" s="595">
        <f>E28*F28</f>
        <v>658.42000000000007</v>
      </c>
      <c r="H28" s="595">
        <f>G28*2</f>
        <v>1316.8400000000001</v>
      </c>
      <c r="I28" s="596">
        <f>G28*52.2</f>
        <v>34369.524000000005</v>
      </c>
      <c r="J28" s="597">
        <f>I28</f>
        <v>34369.524000000005</v>
      </c>
      <c r="K28" s="598">
        <f>J28*L28</f>
        <v>343.69524000000007</v>
      </c>
      <c r="L28" s="599">
        <v>0.01</v>
      </c>
      <c r="M28" s="609">
        <v>40074</v>
      </c>
      <c r="N28" s="601">
        <f>P28</f>
        <v>10</v>
      </c>
      <c r="O28" s="602">
        <v>44012</v>
      </c>
      <c r="P28" s="603">
        <f>DATEDIF(M28,O28,"Y")</f>
        <v>10</v>
      </c>
    </row>
    <row r="29" spans="1:16" x14ac:dyDescent="0.3">
      <c r="D29" s="592"/>
      <c r="E29" s="593"/>
      <c r="F29" s="594"/>
      <c r="G29" s="595"/>
      <c r="H29" s="595"/>
      <c r="I29" s="596"/>
      <c r="J29" s="608" t="s">
        <v>6</v>
      </c>
      <c r="N29" s="601"/>
      <c r="O29" s="602"/>
      <c r="P29" s="603"/>
    </row>
    <row r="30" spans="1:16" x14ac:dyDescent="0.3">
      <c r="A30" s="578">
        <v>176</v>
      </c>
      <c r="B30" s="591" t="s">
        <v>33</v>
      </c>
      <c r="C30" s="579" t="s">
        <v>1059</v>
      </c>
      <c r="D30" s="592" t="s">
        <v>1052</v>
      </c>
      <c r="E30" s="593">
        <v>50.38</v>
      </c>
      <c r="F30" s="594">
        <v>17</v>
      </c>
      <c r="G30" s="595">
        <f>E30*F30</f>
        <v>856.46</v>
      </c>
      <c r="H30" s="595">
        <f>G30*2</f>
        <v>1712.92</v>
      </c>
      <c r="I30" s="596">
        <f>G30*52.2</f>
        <v>44707.212000000007</v>
      </c>
      <c r="J30" s="597">
        <f>I30</f>
        <v>44707.212000000007</v>
      </c>
      <c r="K30" s="598">
        <f>J30*L30</f>
        <v>447.0721200000001</v>
      </c>
      <c r="L30" s="599">
        <v>0.01</v>
      </c>
      <c r="M30" s="609">
        <v>38534</v>
      </c>
      <c r="N30" s="601">
        <f>P30</f>
        <v>14</v>
      </c>
      <c r="O30" s="602">
        <v>44012</v>
      </c>
      <c r="P30" s="603">
        <f>DATEDIF(M30,O30,"Y")</f>
        <v>14</v>
      </c>
    </row>
    <row r="31" spans="1:16" x14ac:dyDescent="0.3">
      <c r="D31" s="592"/>
      <c r="E31" s="593"/>
      <c r="F31" s="594"/>
      <c r="G31" s="595" t="s">
        <v>6</v>
      </c>
      <c r="H31" s="595"/>
      <c r="I31" s="596"/>
      <c r="J31" s="608" t="s">
        <v>6</v>
      </c>
      <c r="N31" s="601"/>
      <c r="O31" s="602"/>
      <c r="P31" s="603"/>
    </row>
    <row r="32" spans="1:16" x14ac:dyDescent="0.3">
      <c r="A32" s="578">
        <v>179</v>
      </c>
      <c r="B32" s="591" t="s">
        <v>33</v>
      </c>
      <c r="C32" s="579" t="s">
        <v>1060</v>
      </c>
      <c r="D32" s="592" t="s">
        <v>1052</v>
      </c>
      <c r="E32" s="593">
        <v>50.38</v>
      </c>
      <c r="F32" s="594">
        <v>5</v>
      </c>
      <c r="G32" s="595">
        <f>E32*F32</f>
        <v>251.9</v>
      </c>
      <c r="H32" s="595">
        <f>G32*2</f>
        <v>503.8</v>
      </c>
      <c r="I32" s="596">
        <f>G32*52.2</f>
        <v>13149.18</v>
      </c>
      <c r="J32" s="597">
        <f>I32</f>
        <v>13149.18</v>
      </c>
      <c r="K32" s="598">
        <f>J32*L32</f>
        <v>131.49180000000001</v>
      </c>
      <c r="L32" s="599">
        <v>0.01</v>
      </c>
      <c r="M32" s="609">
        <v>38534</v>
      </c>
      <c r="N32" s="601">
        <f>P32</f>
        <v>14</v>
      </c>
      <c r="O32" s="602">
        <v>44012</v>
      </c>
      <c r="P32" s="603">
        <f>DATEDIF(M32,O32,"Y")</f>
        <v>14</v>
      </c>
    </row>
    <row r="33" spans="1:16" x14ac:dyDescent="0.3">
      <c r="D33" s="592"/>
      <c r="E33" s="593"/>
      <c r="F33" s="594"/>
      <c r="G33" s="595" t="s">
        <v>6</v>
      </c>
      <c r="H33" s="595"/>
      <c r="I33" s="612" t="s">
        <v>46</v>
      </c>
      <c r="J33" s="608" t="s">
        <v>6</v>
      </c>
      <c r="N33" s="601"/>
      <c r="O33" s="602"/>
      <c r="P33" s="603"/>
    </row>
    <row r="34" spans="1:16" x14ac:dyDescent="0.3">
      <c r="A34" s="578">
        <v>185</v>
      </c>
      <c r="B34" s="591" t="s">
        <v>1128</v>
      </c>
      <c r="C34" s="579" t="s">
        <v>1061</v>
      </c>
      <c r="D34" s="592" t="s">
        <v>1040</v>
      </c>
      <c r="E34" s="593">
        <v>27.91</v>
      </c>
      <c r="F34" s="594">
        <v>5</v>
      </c>
      <c r="G34" s="595">
        <f>E34*F34</f>
        <v>139.55000000000001</v>
      </c>
      <c r="H34" s="595">
        <f>G34*2</f>
        <v>279.10000000000002</v>
      </c>
      <c r="I34" s="596">
        <f>G34*52.2</f>
        <v>7284.5100000000011</v>
      </c>
      <c r="J34" s="597">
        <f>I34</f>
        <v>7284.5100000000011</v>
      </c>
      <c r="M34" s="609">
        <v>42318</v>
      </c>
      <c r="N34" s="601">
        <f>P34</f>
        <v>4</v>
      </c>
      <c r="O34" s="602">
        <v>44012</v>
      </c>
      <c r="P34" s="603">
        <f>DATEDIF(M34,O34,"Y")</f>
        <v>4</v>
      </c>
    </row>
    <row r="35" spans="1:16" x14ac:dyDescent="0.3">
      <c r="C35" s="579" t="s">
        <v>6</v>
      </c>
      <c r="D35" s="592"/>
      <c r="E35" s="593"/>
      <c r="F35" s="594"/>
      <c r="G35" s="595"/>
      <c r="H35" s="595"/>
      <c r="I35" s="596"/>
      <c r="N35" s="601"/>
      <c r="O35" s="602"/>
      <c r="P35" s="603"/>
    </row>
    <row r="36" spans="1:16" x14ac:dyDescent="0.3">
      <c r="A36" s="578">
        <v>192</v>
      </c>
      <c r="B36" s="591" t="s">
        <v>47</v>
      </c>
      <c r="C36" s="579" t="s">
        <v>1226</v>
      </c>
      <c r="D36" s="592" t="s">
        <v>41</v>
      </c>
      <c r="E36" s="593">
        <v>40.89</v>
      </c>
      <c r="F36" s="594">
        <v>40</v>
      </c>
      <c r="G36" s="595">
        <f>E36*F36</f>
        <v>1635.6</v>
      </c>
      <c r="H36" s="595">
        <f>G36*2</f>
        <v>3271.2</v>
      </c>
      <c r="I36" s="596">
        <f>G36*52.2</f>
        <v>85378.32</v>
      </c>
      <c r="J36" s="597">
        <f>I36</f>
        <v>85378.32</v>
      </c>
      <c r="K36" s="598">
        <f>J36*L36</f>
        <v>1707.5664000000002</v>
      </c>
      <c r="L36" s="599">
        <v>0.02</v>
      </c>
      <c r="M36" s="609">
        <v>37592</v>
      </c>
      <c r="N36" s="601">
        <f>P36</f>
        <v>17</v>
      </c>
      <c r="O36" s="602">
        <v>44012</v>
      </c>
      <c r="P36" s="603">
        <f>DATEDIF(M36,O36,"Y")</f>
        <v>17</v>
      </c>
    </row>
    <row r="37" spans="1:16" x14ac:dyDescent="0.3">
      <c r="B37" s="591" t="s">
        <v>48</v>
      </c>
      <c r="C37" s="579" t="s">
        <v>49</v>
      </c>
      <c r="D37" s="592" t="s">
        <v>103</v>
      </c>
      <c r="E37" s="593">
        <v>26.22</v>
      </c>
      <c r="F37" s="594">
        <v>13</v>
      </c>
      <c r="G37" s="595">
        <f>E37*F37</f>
        <v>340.86</v>
      </c>
      <c r="H37" s="595">
        <f>G37*2</f>
        <v>681.72</v>
      </c>
      <c r="I37" s="596">
        <f>G37*52.2</f>
        <v>17792.892000000003</v>
      </c>
      <c r="J37" s="610">
        <f>I37</f>
        <v>17792.892000000003</v>
      </c>
      <c r="K37" s="680">
        <f>J37*L37</f>
        <v>177.92892000000003</v>
      </c>
      <c r="L37" s="599">
        <v>0.01</v>
      </c>
      <c r="M37" s="609">
        <v>38592</v>
      </c>
      <c r="N37" s="601">
        <f>P37</f>
        <v>14</v>
      </c>
      <c r="O37" s="602">
        <v>44012</v>
      </c>
      <c r="P37" s="603">
        <f>DATEDIF(M37,O37,"Y")</f>
        <v>14</v>
      </c>
    </row>
    <row r="38" spans="1:16" x14ac:dyDescent="0.3">
      <c r="D38" s="592"/>
      <c r="E38" s="593"/>
      <c r="F38" s="594"/>
      <c r="G38" s="595"/>
      <c r="H38" s="595"/>
      <c r="I38" s="596"/>
      <c r="N38" s="601"/>
      <c r="O38" s="602"/>
      <c r="P38" s="603"/>
    </row>
    <row r="39" spans="1:16" x14ac:dyDescent="0.3">
      <c r="A39" s="578">
        <v>210</v>
      </c>
      <c r="B39" s="591" t="s">
        <v>54</v>
      </c>
      <c r="C39" s="579" t="s">
        <v>52</v>
      </c>
      <c r="D39" s="592" t="s">
        <v>1347</v>
      </c>
      <c r="E39" s="593"/>
      <c r="F39" s="594">
        <v>40</v>
      </c>
      <c r="G39" s="595">
        <f>E39*F39</f>
        <v>0</v>
      </c>
      <c r="H39" s="595">
        <f>G39*2</f>
        <v>0</v>
      </c>
      <c r="I39" s="596">
        <f>G39*52.2</f>
        <v>0</v>
      </c>
      <c r="J39" s="597">
        <v>124262.09</v>
      </c>
      <c r="K39" s="598">
        <f>J39*L39</f>
        <v>3727.8626999999997</v>
      </c>
      <c r="L39" s="599">
        <v>0.03</v>
      </c>
      <c r="M39" s="609">
        <v>35080</v>
      </c>
      <c r="N39" s="601">
        <f>P39</f>
        <v>24</v>
      </c>
      <c r="O39" s="602">
        <v>44012</v>
      </c>
      <c r="P39" s="603">
        <f>DATEDIF(M39,O39,"Y")</f>
        <v>24</v>
      </c>
    </row>
    <row r="40" spans="1:16" x14ac:dyDescent="0.3">
      <c r="B40" s="591" t="s">
        <v>54</v>
      </c>
      <c r="C40" s="579" t="s">
        <v>53</v>
      </c>
      <c r="D40" s="592"/>
      <c r="E40" s="593"/>
      <c r="F40" s="594"/>
      <c r="G40" s="595"/>
      <c r="H40" s="595"/>
      <c r="I40" s="596"/>
      <c r="K40" s="599"/>
      <c r="M40" s="604"/>
      <c r="N40" s="601"/>
      <c r="O40" s="602"/>
      <c r="P40" s="603"/>
    </row>
    <row r="41" spans="1:16" x14ac:dyDescent="0.3">
      <c r="B41" s="591" t="s">
        <v>57</v>
      </c>
      <c r="C41" s="579" t="s">
        <v>55</v>
      </c>
      <c r="D41" s="592" t="s">
        <v>1346</v>
      </c>
      <c r="E41" s="593">
        <v>47.03</v>
      </c>
      <c r="F41" s="594">
        <v>40</v>
      </c>
      <c r="G41" s="595">
        <f>E41*F41</f>
        <v>1881.2</v>
      </c>
      <c r="H41" s="595">
        <f>G41*2</f>
        <v>3762.4</v>
      </c>
      <c r="I41" s="596">
        <f>G41*52.2</f>
        <v>98198.640000000014</v>
      </c>
      <c r="J41" s="597">
        <f>I41</f>
        <v>98198.640000000014</v>
      </c>
      <c r="K41" s="598">
        <f>J41*L41</f>
        <v>981.98640000000012</v>
      </c>
      <c r="L41" s="599">
        <v>0.01</v>
      </c>
      <c r="M41" s="609">
        <v>40007</v>
      </c>
      <c r="N41" s="601">
        <f>P41</f>
        <v>10</v>
      </c>
      <c r="O41" s="602">
        <v>44012</v>
      </c>
      <c r="P41" s="603">
        <f>DATEDIF(M41,O41,"Y")</f>
        <v>10</v>
      </c>
    </row>
    <row r="42" spans="1:16" x14ac:dyDescent="0.3">
      <c r="B42" s="591" t="s">
        <v>57</v>
      </c>
      <c r="C42" s="579" t="s">
        <v>53</v>
      </c>
      <c r="D42" s="613"/>
      <c r="E42" s="593">
        <f>E41*1.5</f>
        <v>70.545000000000002</v>
      </c>
      <c r="F42" s="594"/>
      <c r="G42" s="595"/>
      <c r="H42" s="595"/>
      <c r="I42" s="596"/>
      <c r="M42" s="604"/>
      <c r="N42" s="601"/>
      <c r="O42" s="602"/>
      <c r="P42" s="603"/>
    </row>
    <row r="43" spans="1:16" x14ac:dyDescent="0.3">
      <c r="B43" s="591" t="s">
        <v>1349</v>
      </c>
      <c r="C43" s="579" t="s">
        <v>884</v>
      </c>
      <c r="D43" s="613" t="s">
        <v>1704</v>
      </c>
      <c r="E43" s="593">
        <v>36.880000000000003</v>
      </c>
      <c r="F43" s="594">
        <v>40</v>
      </c>
      <c r="G43" s="595">
        <f>E43*F43</f>
        <v>1475.2</v>
      </c>
      <c r="H43" s="595">
        <f>G43*2</f>
        <v>2950.4</v>
      </c>
      <c r="I43" s="596">
        <f>G43*52.2</f>
        <v>77005.440000000002</v>
      </c>
      <c r="J43" s="597">
        <f>I43</f>
        <v>77005.440000000002</v>
      </c>
      <c r="M43" s="609">
        <v>42876</v>
      </c>
      <c r="N43" s="601">
        <f>P43</f>
        <v>3</v>
      </c>
      <c r="O43" s="602">
        <v>44012</v>
      </c>
      <c r="P43" s="603">
        <f>DATEDIF(M43,O43,"Y")</f>
        <v>3</v>
      </c>
    </row>
    <row r="44" spans="1:16" x14ac:dyDescent="0.3">
      <c r="B44" s="591" t="s">
        <v>1349</v>
      </c>
      <c r="C44" s="579" t="s">
        <v>53</v>
      </c>
      <c r="D44" s="613"/>
      <c r="E44" s="593">
        <f>E43*1.5</f>
        <v>55.320000000000007</v>
      </c>
      <c r="F44" s="594"/>
      <c r="G44" s="595"/>
      <c r="H44" s="595"/>
      <c r="I44" s="596"/>
      <c r="N44" s="601"/>
      <c r="O44" s="602"/>
      <c r="P44" s="603"/>
    </row>
    <row r="45" spans="1:16" x14ac:dyDescent="0.3">
      <c r="B45" s="591" t="s">
        <v>1349</v>
      </c>
      <c r="C45" s="579" t="s">
        <v>56</v>
      </c>
      <c r="D45" s="592"/>
      <c r="E45" s="593">
        <v>0</v>
      </c>
      <c r="F45" s="594"/>
      <c r="G45" s="595"/>
      <c r="H45" s="595"/>
      <c r="I45" s="596"/>
      <c r="N45" s="601"/>
      <c r="O45" s="602"/>
      <c r="P45" s="603"/>
    </row>
    <row r="46" spans="1:16" x14ac:dyDescent="0.3">
      <c r="B46" s="591" t="s">
        <v>1244</v>
      </c>
      <c r="C46" s="579" t="s">
        <v>1163</v>
      </c>
      <c r="D46" s="613" t="s">
        <v>1704</v>
      </c>
      <c r="E46" s="593">
        <v>36.880000000000003</v>
      </c>
      <c r="F46" s="594">
        <v>40</v>
      </c>
      <c r="G46" s="595">
        <f>E46*F46</f>
        <v>1475.2</v>
      </c>
      <c r="H46" s="595">
        <f>G46*2</f>
        <v>2950.4</v>
      </c>
      <c r="I46" s="596">
        <f>G46*52.2</f>
        <v>77005.440000000002</v>
      </c>
      <c r="J46" s="597">
        <f>I46</f>
        <v>77005.440000000002</v>
      </c>
      <c r="M46" s="609">
        <v>42053</v>
      </c>
      <c r="N46" s="601">
        <f>P46</f>
        <v>5</v>
      </c>
      <c r="O46" s="602">
        <v>44012</v>
      </c>
      <c r="P46" s="603">
        <f>DATEDIF(M46,O46,"Y")</f>
        <v>5</v>
      </c>
    </row>
    <row r="47" spans="1:16" x14ac:dyDescent="0.3">
      <c r="B47" s="591" t="s">
        <v>1244</v>
      </c>
      <c r="C47" s="579" t="s">
        <v>53</v>
      </c>
      <c r="D47" s="613"/>
      <c r="E47" s="593">
        <v>46.46</v>
      </c>
      <c r="F47" s="594"/>
      <c r="G47" s="595"/>
      <c r="H47" s="595"/>
      <c r="I47" s="596"/>
      <c r="N47" s="601"/>
      <c r="O47" s="602"/>
      <c r="P47" s="603"/>
    </row>
    <row r="48" spans="1:16" x14ac:dyDescent="0.3">
      <c r="B48" s="591" t="s">
        <v>1244</v>
      </c>
      <c r="C48" s="579" t="s">
        <v>56</v>
      </c>
      <c r="D48" s="592"/>
      <c r="E48" s="593">
        <v>0</v>
      </c>
      <c r="F48" s="594"/>
      <c r="G48" s="595"/>
      <c r="H48" s="595"/>
      <c r="I48" s="596"/>
      <c r="N48" s="601"/>
      <c r="O48" s="602"/>
      <c r="P48" s="603"/>
    </row>
    <row r="49" spans="2:16" x14ac:dyDescent="0.3">
      <c r="B49" s="591" t="s">
        <v>1245</v>
      </c>
      <c r="C49" s="579" t="s">
        <v>885</v>
      </c>
      <c r="D49" s="613" t="s">
        <v>1350</v>
      </c>
      <c r="E49" s="593">
        <v>35.64</v>
      </c>
      <c r="F49" s="594">
        <v>40</v>
      </c>
      <c r="G49" s="595">
        <f>E49*F49</f>
        <v>1425.6</v>
      </c>
      <c r="H49" s="595">
        <f>G49*2</f>
        <v>2851.2</v>
      </c>
      <c r="I49" s="596">
        <f>G49*52.2</f>
        <v>74416.319999999992</v>
      </c>
      <c r="J49" s="597">
        <f>I49</f>
        <v>74416.319999999992</v>
      </c>
      <c r="M49" s="609">
        <v>42339</v>
      </c>
      <c r="N49" s="601">
        <f>P49</f>
        <v>4</v>
      </c>
      <c r="O49" s="602">
        <v>44012</v>
      </c>
      <c r="P49" s="603">
        <f>DATEDIF(M49,O49,"Y")</f>
        <v>4</v>
      </c>
    </row>
    <row r="50" spans="2:16" x14ac:dyDescent="0.3">
      <c r="B50" s="591" t="s">
        <v>1245</v>
      </c>
      <c r="C50" s="579" t="s">
        <v>53</v>
      </c>
      <c r="D50" s="613"/>
      <c r="E50" s="593">
        <f>E49*1.5</f>
        <v>53.46</v>
      </c>
      <c r="F50" s="594"/>
      <c r="G50" s="595"/>
      <c r="H50" s="595"/>
      <c r="I50" s="596"/>
      <c r="N50" s="601"/>
      <c r="O50" s="602"/>
      <c r="P50" s="603"/>
    </row>
    <row r="51" spans="2:16" x14ac:dyDescent="0.3">
      <c r="B51" s="591" t="s">
        <v>1245</v>
      </c>
      <c r="C51" s="579" t="s">
        <v>56</v>
      </c>
      <c r="D51" s="592"/>
      <c r="E51" s="593">
        <v>0</v>
      </c>
      <c r="F51" s="594"/>
      <c r="G51" s="595"/>
      <c r="H51" s="595"/>
      <c r="I51" s="596"/>
      <c r="N51" s="601"/>
      <c r="O51" s="602"/>
      <c r="P51" s="603"/>
    </row>
    <row r="52" spans="2:16" x14ac:dyDescent="0.3">
      <c r="B52" s="614" t="s">
        <v>1041</v>
      </c>
      <c r="C52" s="614" t="s">
        <v>58</v>
      </c>
      <c r="D52" s="592" t="s">
        <v>59</v>
      </c>
      <c r="E52" s="593"/>
      <c r="F52" s="594" t="s">
        <v>66</v>
      </c>
      <c r="G52" s="595"/>
      <c r="H52" s="595"/>
      <c r="I52" s="596"/>
      <c r="J52" s="597">
        <v>36193.22</v>
      </c>
      <c r="K52" s="607" t="s">
        <v>1092</v>
      </c>
      <c r="N52" s="601"/>
      <c r="O52" s="602"/>
      <c r="P52" s="603"/>
    </row>
    <row r="53" spans="2:16" x14ac:dyDescent="0.3">
      <c r="B53" s="614" t="s">
        <v>1042</v>
      </c>
      <c r="C53" s="614" t="s">
        <v>58</v>
      </c>
      <c r="D53" s="592" t="s">
        <v>59</v>
      </c>
      <c r="E53" s="593"/>
      <c r="F53" s="594" t="s">
        <v>66</v>
      </c>
      <c r="G53" s="595"/>
      <c r="H53" s="595"/>
      <c r="I53" s="596"/>
      <c r="J53" s="597">
        <v>36500</v>
      </c>
      <c r="K53" s="607" t="s">
        <v>1233</v>
      </c>
      <c r="N53" s="601"/>
      <c r="O53" s="602"/>
      <c r="P53" s="603"/>
    </row>
    <row r="54" spans="2:16" x14ac:dyDescent="0.3">
      <c r="B54" s="614" t="s">
        <v>1043</v>
      </c>
      <c r="C54" s="614" t="s">
        <v>58</v>
      </c>
      <c r="D54" s="592" t="s">
        <v>59</v>
      </c>
      <c r="E54" s="593"/>
      <c r="F54" s="594" t="s">
        <v>66</v>
      </c>
      <c r="G54" s="595"/>
      <c r="H54" s="595"/>
      <c r="I54" s="596"/>
      <c r="J54" s="610">
        <v>45360</v>
      </c>
      <c r="K54" s="607" t="s">
        <v>1234</v>
      </c>
      <c r="N54" s="601"/>
      <c r="O54" s="602"/>
      <c r="P54" s="603"/>
    </row>
    <row r="55" spans="2:16" x14ac:dyDescent="0.3">
      <c r="B55" s="614" t="s">
        <v>1044</v>
      </c>
      <c r="C55" s="614" t="s">
        <v>58</v>
      </c>
      <c r="D55" s="592" t="s">
        <v>1123</v>
      </c>
      <c r="E55" s="593"/>
      <c r="F55" s="594"/>
      <c r="G55" s="595"/>
      <c r="H55" s="595"/>
      <c r="I55" s="596"/>
      <c r="J55" s="610">
        <v>17280</v>
      </c>
      <c r="K55" s="607" t="s">
        <v>2133</v>
      </c>
      <c r="N55" s="601"/>
      <c r="O55" s="602"/>
      <c r="P55" s="603"/>
    </row>
    <row r="56" spans="2:16" x14ac:dyDescent="0.3">
      <c r="B56" s="614" t="s">
        <v>1046</v>
      </c>
      <c r="C56" s="614" t="s">
        <v>58</v>
      </c>
      <c r="D56" s="592" t="s">
        <v>1066</v>
      </c>
      <c r="E56" s="593"/>
      <c r="F56" s="594"/>
      <c r="G56" s="595"/>
      <c r="H56" s="595"/>
      <c r="I56" s="596"/>
      <c r="J56" s="610">
        <v>35280</v>
      </c>
      <c r="K56" s="607" t="s">
        <v>1235</v>
      </c>
      <c r="N56" s="601"/>
      <c r="O56" s="602"/>
      <c r="P56" s="603"/>
    </row>
    <row r="57" spans="2:16" x14ac:dyDescent="0.3">
      <c r="B57" s="614"/>
      <c r="C57" s="614" t="s">
        <v>58</v>
      </c>
      <c r="D57" s="592" t="s">
        <v>59</v>
      </c>
      <c r="E57" s="593"/>
      <c r="F57" s="594"/>
      <c r="G57" s="595"/>
      <c r="H57" s="595"/>
      <c r="I57" s="596"/>
      <c r="J57" s="610">
        <v>8000</v>
      </c>
      <c r="K57" s="607" t="s">
        <v>1236</v>
      </c>
      <c r="N57" s="601"/>
      <c r="O57" s="602"/>
      <c r="P57" s="603"/>
    </row>
    <row r="58" spans="2:16" x14ac:dyDescent="0.3">
      <c r="B58" s="614" t="s">
        <v>1047</v>
      </c>
      <c r="C58" s="614" t="s">
        <v>58</v>
      </c>
      <c r="D58" s="592" t="s">
        <v>1040</v>
      </c>
      <c r="E58" s="593"/>
      <c r="F58" s="594"/>
      <c r="G58" s="595"/>
      <c r="H58" s="595"/>
      <c r="I58" s="596"/>
      <c r="J58" s="597">
        <v>18011</v>
      </c>
      <c r="K58" s="607" t="s">
        <v>1237</v>
      </c>
      <c r="N58" s="601"/>
      <c r="O58" s="602"/>
      <c r="P58" s="603"/>
    </row>
    <row r="59" spans="2:16" x14ac:dyDescent="0.3">
      <c r="B59" s="614" t="s">
        <v>1048</v>
      </c>
      <c r="C59" s="614" t="s">
        <v>58</v>
      </c>
      <c r="D59" s="592" t="s">
        <v>1066</v>
      </c>
      <c r="E59" s="593"/>
      <c r="F59" s="594"/>
      <c r="G59" s="595"/>
      <c r="H59" s="595"/>
      <c r="I59" s="596"/>
      <c r="J59" s="597">
        <v>10000</v>
      </c>
      <c r="K59" s="607" t="s">
        <v>1238</v>
      </c>
      <c r="N59" s="601"/>
      <c r="O59" s="602"/>
      <c r="P59" s="603"/>
    </row>
    <row r="60" spans="2:16" x14ac:dyDescent="0.3">
      <c r="B60" s="614" t="s">
        <v>1049</v>
      </c>
      <c r="C60" s="614" t="s">
        <v>58</v>
      </c>
      <c r="D60" s="592" t="s">
        <v>218</v>
      </c>
      <c r="E60" s="593"/>
      <c r="F60" s="594"/>
      <c r="G60" s="595"/>
      <c r="H60" s="595"/>
      <c r="I60" s="596"/>
      <c r="N60" s="601"/>
      <c r="O60" s="602"/>
      <c r="P60" s="603"/>
    </row>
    <row r="61" spans="2:16" x14ac:dyDescent="0.3">
      <c r="B61" s="614" t="s">
        <v>1049</v>
      </c>
      <c r="C61" s="614" t="s">
        <v>58</v>
      </c>
      <c r="D61" s="592" t="s">
        <v>218</v>
      </c>
      <c r="E61" s="593"/>
      <c r="F61" s="594"/>
      <c r="G61" s="595"/>
      <c r="H61" s="595"/>
      <c r="I61" s="596"/>
      <c r="N61" s="601"/>
      <c r="O61" s="602"/>
      <c r="P61" s="603"/>
    </row>
    <row r="62" spans="2:16" x14ac:dyDescent="0.3">
      <c r="B62" s="614" t="s">
        <v>1050</v>
      </c>
      <c r="C62" s="614" t="s">
        <v>60</v>
      </c>
      <c r="D62" s="592" t="s">
        <v>1705</v>
      </c>
      <c r="E62" s="593"/>
      <c r="F62" s="594"/>
      <c r="G62" s="595"/>
      <c r="H62" s="595"/>
      <c r="I62" s="596"/>
      <c r="N62" s="601"/>
      <c r="O62" s="602"/>
      <c r="P62" s="603"/>
    </row>
    <row r="63" spans="2:16" x14ac:dyDescent="0.3">
      <c r="B63" s="614" t="s">
        <v>1051</v>
      </c>
      <c r="C63" s="614" t="s">
        <v>60</v>
      </c>
      <c r="D63" s="592" t="s">
        <v>1351</v>
      </c>
      <c r="E63" s="593"/>
      <c r="F63" s="594"/>
      <c r="G63" s="595"/>
      <c r="H63" s="595"/>
      <c r="I63" s="596"/>
      <c r="N63" s="601"/>
      <c r="O63" s="602"/>
      <c r="P63" s="603"/>
    </row>
    <row r="64" spans="2:16" x14ac:dyDescent="0.3">
      <c r="B64" s="614" t="s">
        <v>1049</v>
      </c>
      <c r="C64" s="614" t="s">
        <v>60</v>
      </c>
      <c r="D64" s="592" t="s">
        <v>1352</v>
      </c>
      <c r="E64" s="593"/>
      <c r="F64" s="594"/>
      <c r="G64" s="595"/>
      <c r="H64" s="595"/>
      <c r="I64" s="596"/>
      <c r="N64" s="601"/>
      <c r="O64" s="602"/>
      <c r="P64" s="603"/>
    </row>
    <row r="65" spans="1:16" x14ac:dyDescent="0.3">
      <c r="D65" s="592"/>
      <c r="E65" s="593"/>
      <c r="F65" s="594"/>
      <c r="G65" s="595"/>
      <c r="H65" s="595"/>
      <c r="I65" s="596"/>
      <c r="N65" s="601"/>
      <c r="O65" s="602"/>
      <c r="P65" s="603"/>
    </row>
    <row r="66" spans="1:16" x14ac:dyDescent="0.3">
      <c r="A66" s="578">
        <v>220</v>
      </c>
      <c r="B66" s="591" t="s">
        <v>2126</v>
      </c>
      <c r="C66" s="579" t="s">
        <v>50</v>
      </c>
      <c r="D66" s="592" t="s">
        <v>62</v>
      </c>
      <c r="E66" s="593"/>
      <c r="F66" s="594"/>
      <c r="G66" s="615"/>
      <c r="H66" s="595" t="s">
        <v>2122</v>
      </c>
      <c r="I66" s="596"/>
      <c r="J66" s="597">
        <v>85000</v>
      </c>
      <c r="K66" s="598"/>
      <c r="L66" s="599">
        <v>0.03</v>
      </c>
      <c r="M66" s="609">
        <v>36617</v>
      </c>
      <c r="N66" s="601">
        <f>P66</f>
        <v>20</v>
      </c>
      <c r="O66" s="602">
        <v>44012</v>
      </c>
      <c r="P66" s="603">
        <f>DATEDIF(M66,O66,"Y")</f>
        <v>20</v>
      </c>
    </row>
    <row r="67" spans="1:16" x14ac:dyDescent="0.3">
      <c r="B67" s="591" t="s">
        <v>1357</v>
      </c>
      <c r="D67" s="592"/>
      <c r="E67" s="593"/>
      <c r="F67" s="594"/>
      <c r="G67" s="595"/>
      <c r="H67" s="595"/>
      <c r="I67" s="596"/>
      <c r="J67" s="597"/>
      <c r="K67" s="598"/>
      <c r="M67" s="604"/>
      <c r="N67" s="601"/>
      <c r="O67" s="602"/>
      <c r="P67" s="603"/>
    </row>
    <row r="68" spans="1:16" x14ac:dyDescent="0.3">
      <c r="B68" s="591" t="s">
        <v>104</v>
      </c>
      <c r="C68" s="579" t="s">
        <v>51</v>
      </c>
      <c r="D68" s="592" t="s">
        <v>59</v>
      </c>
      <c r="E68" s="593">
        <v>29.9</v>
      </c>
      <c r="F68" s="594">
        <v>7</v>
      </c>
      <c r="G68" s="595">
        <f>E68*F68</f>
        <v>209.29999999999998</v>
      </c>
      <c r="H68" s="595"/>
      <c r="I68" s="596">
        <f>G68*52.2</f>
        <v>10925.46</v>
      </c>
      <c r="J68" s="610">
        <f>I68</f>
        <v>10925.46</v>
      </c>
      <c r="N68" s="601"/>
      <c r="O68" s="602"/>
      <c r="P68" s="603"/>
    </row>
    <row r="69" spans="1:16" x14ac:dyDescent="0.3">
      <c r="B69" s="591"/>
      <c r="C69" s="579" t="s">
        <v>1358</v>
      </c>
      <c r="D69" s="592"/>
      <c r="E69" s="593"/>
      <c r="F69" s="594"/>
      <c r="G69" s="595"/>
      <c r="H69" s="595"/>
      <c r="I69" s="596"/>
      <c r="J69" s="678"/>
      <c r="N69" s="601"/>
      <c r="O69" s="602"/>
      <c r="P69" s="603"/>
    </row>
    <row r="70" spans="1:16" x14ac:dyDescent="0.3">
      <c r="B70" s="591"/>
      <c r="C70" s="579" t="s">
        <v>1359</v>
      </c>
      <c r="D70" s="592"/>
      <c r="E70" s="593"/>
      <c r="F70" s="594"/>
      <c r="G70" s="595"/>
      <c r="H70" s="595"/>
      <c r="I70" s="596"/>
      <c r="J70" s="678">
        <v>20000</v>
      </c>
      <c r="N70" s="601"/>
      <c r="O70" s="602"/>
      <c r="P70" s="603"/>
    </row>
    <row r="71" spans="1:16" x14ac:dyDescent="0.3">
      <c r="B71" s="591"/>
      <c r="C71" s="579" t="s">
        <v>1360</v>
      </c>
      <c r="D71" s="592"/>
      <c r="E71" s="593"/>
      <c r="F71" s="594"/>
      <c r="G71" s="595"/>
      <c r="H71" s="595"/>
      <c r="I71" s="596"/>
      <c r="J71" s="678">
        <v>24000</v>
      </c>
      <c r="N71" s="601"/>
      <c r="O71" s="602"/>
      <c r="P71" s="603"/>
    </row>
    <row r="72" spans="1:16" x14ac:dyDescent="0.3">
      <c r="B72" s="591"/>
      <c r="C72" s="579" t="s">
        <v>1361</v>
      </c>
      <c r="D72" s="592"/>
      <c r="E72" s="593"/>
      <c r="F72" s="594"/>
      <c r="G72" s="595"/>
      <c r="H72" s="595"/>
      <c r="I72" s="596"/>
      <c r="J72" s="678">
        <v>2500</v>
      </c>
      <c r="N72" s="601"/>
      <c r="O72" s="602"/>
      <c r="P72" s="603"/>
    </row>
    <row r="73" spans="1:16" x14ac:dyDescent="0.3">
      <c r="D73" s="592"/>
      <c r="E73" s="593"/>
      <c r="F73" s="594"/>
      <c r="G73" s="595"/>
      <c r="H73" s="595"/>
      <c r="I73" s="596"/>
      <c r="N73" s="601"/>
      <c r="O73" s="602"/>
      <c r="P73" s="603"/>
    </row>
    <row r="74" spans="1:16" x14ac:dyDescent="0.3">
      <c r="A74" s="616">
        <v>241</v>
      </c>
      <c r="B74" s="591" t="s">
        <v>61</v>
      </c>
      <c r="C74" s="579" t="s">
        <v>1353</v>
      </c>
      <c r="D74" s="592" t="s">
        <v>62</v>
      </c>
      <c r="E74" s="593">
        <v>45.38</v>
      </c>
      <c r="F74" s="594">
        <v>11</v>
      </c>
      <c r="G74" s="595">
        <f>E74*F74</f>
        <v>499.18</v>
      </c>
      <c r="H74" s="595">
        <f>G74*2</f>
        <v>998.36</v>
      </c>
      <c r="I74" s="596">
        <f>G74*52.2</f>
        <v>26057.196000000004</v>
      </c>
      <c r="J74" s="597">
        <f>I74</f>
        <v>26057.196000000004</v>
      </c>
      <c r="K74" s="598">
        <f>J74*L74</f>
        <v>1042.2878400000002</v>
      </c>
      <c r="L74" s="599">
        <v>0.04</v>
      </c>
      <c r="M74" s="609">
        <v>30864</v>
      </c>
      <c r="N74" s="601">
        <f>P74</f>
        <v>35</v>
      </c>
      <c r="O74" s="602">
        <v>44012</v>
      </c>
      <c r="P74" s="603">
        <f>DATEDIF(M74,O74,"Y")</f>
        <v>35</v>
      </c>
    </row>
    <row r="75" spans="1:16" x14ac:dyDescent="0.3">
      <c r="A75" s="616"/>
      <c r="B75" s="591" t="s">
        <v>1049</v>
      </c>
      <c r="C75" s="579" t="s">
        <v>69</v>
      </c>
      <c r="D75" s="592" t="s">
        <v>2114</v>
      </c>
      <c r="E75" s="593">
        <v>24.33</v>
      </c>
      <c r="F75" s="594">
        <v>2</v>
      </c>
      <c r="G75" s="595">
        <f>E75*F75</f>
        <v>48.66</v>
      </c>
      <c r="H75" s="595">
        <f>G75*2</f>
        <v>97.32</v>
      </c>
      <c r="I75" s="596">
        <f>G75*52.2</f>
        <v>2540.0520000000001</v>
      </c>
      <c r="J75" s="597">
        <f>I75</f>
        <v>2540.0520000000001</v>
      </c>
      <c r="K75" s="598"/>
      <c r="M75" s="609"/>
      <c r="N75" s="601"/>
      <c r="O75" s="602"/>
      <c r="P75" s="603"/>
    </row>
    <row r="76" spans="1:16" x14ac:dyDescent="0.3">
      <c r="A76" s="616"/>
      <c r="B76" s="591"/>
      <c r="C76" s="617" t="s">
        <v>1865</v>
      </c>
      <c r="D76" s="592"/>
      <c r="E76" s="593"/>
      <c r="F76" s="594"/>
      <c r="G76" s="595"/>
      <c r="H76" s="595"/>
      <c r="I76" s="596"/>
      <c r="J76" s="610">
        <v>8000</v>
      </c>
      <c r="K76" s="598"/>
      <c r="M76" s="609"/>
      <c r="N76" s="601"/>
      <c r="O76" s="602"/>
      <c r="P76" s="603"/>
    </row>
    <row r="77" spans="1:16" x14ac:dyDescent="0.3">
      <c r="A77" s="616"/>
      <c r="B77" s="591"/>
      <c r="C77" s="617" t="s">
        <v>1866</v>
      </c>
      <c r="D77" s="592"/>
      <c r="E77" s="593"/>
      <c r="F77" s="594"/>
      <c r="G77" s="595"/>
      <c r="H77" s="595"/>
      <c r="I77" s="596"/>
      <c r="J77" s="610">
        <v>8000</v>
      </c>
      <c r="K77" s="598"/>
      <c r="M77" s="609"/>
      <c r="N77" s="601"/>
      <c r="O77" s="602"/>
      <c r="P77" s="603"/>
    </row>
    <row r="78" spans="1:16" x14ac:dyDescent="0.3">
      <c r="A78" s="616"/>
      <c r="B78" s="591"/>
      <c r="C78" s="617" t="s">
        <v>1867</v>
      </c>
      <c r="D78" s="592"/>
      <c r="E78" s="593"/>
      <c r="F78" s="594"/>
      <c r="G78" s="595"/>
      <c r="H78" s="595"/>
      <c r="I78" s="596"/>
      <c r="J78" s="610">
        <v>25000</v>
      </c>
      <c r="K78" s="598"/>
      <c r="M78" s="609"/>
      <c r="N78" s="601"/>
      <c r="O78" s="602"/>
      <c r="P78" s="603"/>
    </row>
    <row r="79" spans="1:16" x14ac:dyDescent="0.3">
      <c r="D79" s="592"/>
      <c r="E79" s="593"/>
      <c r="F79" s="594"/>
      <c r="G79" s="595"/>
      <c r="H79" s="595"/>
      <c r="I79" s="596"/>
      <c r="N79" s="601"/>
      <c r="O79" s="602"/>
      <c r="P79" s="603"/>
    </row>
    <row r="80" spans="1:16" x14ac:dyDescent="0.3">
      <c r="A80" s="578">
        <v>291</v>
      </c>
      <c r="B80" s="591" t="s">
        <v>76</v>
      </c>
      <c r="C80" s="579" t="s">
        <v>1456</v>
      </c>
      <c r="D80" s="592" t="s">
        <v>219</v>
      </c>
      <c r="E80" s="593">
        <v>36.83</v>
      </c>
      <c r="F80" s="594"/>
      <c r="G80" s="595"/>
      <c r="H80" s="595"/>
      <c r="I80" s="596"/>
      <c r="J80" s="597">
        <v>3000</v>
      </c>
      <c r="K80" s="598">
        <f>J80*0.01</f>
        <v>30</v>
      </c>
      <c r="L80" s="599">
        <v>0.01</v>
      </c>
      <c r="M80" s="609">
        <v>39778</v>
      </c>
      <c r="N80" s="601">
        <f>P80</f>
        <v>11</v>
      </c>
      <c r="O80" s="602">
        <v>44012</v>
      </c>
      <c r="P80" s="603">
        <f>DATEDIF(M80,O80,"Y")</f>
        <v>11</v>
      </c>
    </row>
    <row r="81" spans="1:16" x14ac:dyDescent="0.3">
      <c r="D81" s="592"/>
      <c r="E81" s="593"/>
      <c r="F81" s="594"/>
      <c r="G81" s="595"/>
      <c r="H81" s="595"/>
      <c r="I81" s="596"/>
      <c r="N81" s="601"/>
      <c r="O81" s="602"/>
      <c r="P81" s="603"/>
    </row>
    <row r="82" spans="1:16" x14ac:dyDescent="0.3">
      <c r="A82" s="578">
        <v>292</v>
      </c>
      <c r="B82" s="591" t="s">
        <v>63</v>
      </c>
      <c r="C82" s="579" t="s">
        <v>64</v>
      </c>
      <c r="D82" s="592" t="s">
        <v>59</v>
      </c>
      <c r="E82" s="593">
        <v>29.9</v>
      </c>
      <c r="F82" s="594">
        <v>500</v>
      </c>
      <c r="G82" s="595">
        <f>J82/12</f>
        <v>1245.8333333333333</v>
      </c>
      <c r="H82" s="595"/>
      <c r="I82" s="596"/>
      <c r="J82" s="597">
        <f>E82*F82</f>
        <v>14950</v>
      </c>
      <c r="K82" s="598">
        <f>J82*0.01</f>
        <v>149.5</v>
      </c>
      <c r="L82" s="599">
        <v>0.01</v>
      </c>
      <c r="M82" s="609">
        <v>38593</v>
      </c>
      <c r="N82" s="601">
        <f>P82</f>
        <v>14</v>
      </c>
      <c r="O82" s="602">
        <v>44012</v>
      </c>
      <c r="P82" s="603">
        <f>DATEDIF(M82,O82,"Y")</f>
        <v>14</v>
      </c>
    </row>
    <row r="83" spans="1:16" x14ac:dyDescent="0.3">
      <c r="B83" s="591" t="s">
        <v>1049</v>
      </c>
      <c r="C83" s="579" t="s">
        <v>65</v>
      </c>
      <c r="D83" s="592"/>
      <c r="E83" s="593"/>
      <c r="F83" s="594" t="s">
        <v>6</v>
      </c>
      <c r="G83" s="595"/>
      <c r="H83" s="595"/>
      <c r="I83" s="596"/>
      <c r="J83" s="610">
        <v>1000</v>
      </c>
      <c r="N83" s="601"/>
      <c r="O83" s="602"/>
      <c r="P83" s="603"/>
    </row>
    <row r="84" spans="1:16" x14ac:dyDescent="0.3">
      <c r="B84" s="591" t="s">
        <v>1067</v>
      </c>
      <c r="C84" s="579" t="s">
        <v>65</v>
      </c>
      <c r="D84" s="592"/>
      <c r="E84" s="593"/>
      <c r="F84" s="594"/>
      <c r="G84" s="595"/>
      <c r="H84" s="595"/>
      <c r="I84" s="596"/>
      <c r="J84" s="610">
        <v>1000</v>
      </c>
      <c r="N84" s="601"/>
      <c r="O84" s="602"/>
      <c r="P84" s="603"/>
    </row>
    <row r="85" spans="1:16" x14ac:dyDescent="0.3">
      <c r="B85" s="591"/>
      <c r="D85" s="592"/>
      <c r="E85" s="593"/>
      <c r="F85" s="594"/>
      <c r="G85" s="595"/>
      <c r="H85" s="595"/>
      <c r="I85" s="596"/>
      <c r="J85" s="610"/>
      <c r="N85" s="601"/>
      <c r="O85" s="602"/>
      <c r="P85" s="603"/>
    </row>
    <row r="86" spans="1:16" x14ac:dyDescent="0.3">
      <c r="D86" s="592"/>
      <c r="E86" s="593"/>
      <c r="F86" s="594"/>
      <c r="G86" s="595"/>
      <c r="H86" s="595"/>
      <c r="I86" s="596"/>
      <c r="N86" s="601"/>
      <c r="O86" s="602"/>
      <c r="P86" s="603"/>
    </row>
    <row r="87" spans="1:16" x14ac:dyDescent="0.3">
      <c r="A87" s="578">
        <v>295</v>
      </c>
      <c r="B87" s="591" t="s">
        <v>1282</v>
      </c>
      <c r="C87" s="614" t="s">
        <v>67</v>
      </c>
      <c r="D87" s="618" t="s">
        <v>2092</v>
      </c>
      <c r="E87" s="593">
        <v>40.94</v>
      </c>
      <c r="F87" s="594">
        <v>35</v>
      </c>
      <c r="G87" s="619">
        <f>E87*F87</f>
        <v>1432.8999999999999</v>
      </c>
      <c r="H87" s="595">
        <f>G87*2</f>
        <v>2865.7999999999997</v>
      </c>
      <c r="I87" s="596">
        <f>G87*52.2</f>
        <v>74797.37999999999</v>
      </c>
      <c r="J87" s="597">
        <f>I87</f>
        <v>74797.37999999999</v>
      </c>
      <c r="K87" s="598"/>
      <c r="M87" s="609">
        <v>37318</v>
      </c>
      <c r="N87" s="620">
        <f>P87</f>
        <v>18</v>
      </c>
      <c r="O87" s="621">
        <v>44012</v>
      </c>
      <c r="P87" s="622">
        <f>DATEDIF(M87,O87,"Y")</f>
        <v>18</v>
      </c>
    </row>
    <row r="88" spans="1:16" x14ac:dyDescent="0.3">
      <c r="B88" s="591" t="s">
        <v>1711</v>
      </c>
      <c r="C88" s="579" t="s">
        <v>69</v>
      </c>
      <c r="D88" s="592" t="s">
        <v>218</v>
      </c>
      <c r="E88" s="593">
        <v>25.17</v>
      </c>
      <c r="F88" s="594"/>
      <c r="G88" s="619"/>
      <c r="H88" s="623">
        <v>746</v>
      </c>
      <c r="I88" s="596">
        <f>E88*H88</f>
        <v>18776.82</v>
      </c>
      <c r="J88" s="610">
        <f>I88</f>
        <v>18776.82</v>
      </c>
      <c r="N88" s="601"/>
      <c r="O88" s="602"/>
      <c r="P88" s="603"/>
    </row>
    <row r="89" spans="1:16" x14ac:dyDescent="0.3">
      <c r="B89" s="591" t="s">
        <v>1282</v>
      </c>
      <c r="C89" s="579" t="s">
        <v>68</v>
      </c>
      <c r="D89" s="592" t="s">
        <v>59</v>
      </c>
      <c r="E89" s="593">
        <v>29.9</v>
      </c>
      <c r="F89" s="594">
        <v>35</v>
      </c>
      <c r="G89" s="595"/>
      <c r="H89" s="595" t="s">
        <v>2097</v>
      </c>
      <c r="I89" s="624">
        <f>E89*F89*15</f>
        <v>15697.5</v>
      </c>
      <c r="J89" s="610">
        <f>SUM(I89:I90)</f>
        <v>31395</v>
      </c>
      <c r="N89" s="601"/>
      <c r="O89" s="602"/>
      <c r="P89" s="603"/>
    </row>
    <row r="90" spans="1:16" x14ac:dyDescent="0.3">
      <c r="B90" s="591" t="s">
        <v>1282</v>
      </c>
      <c r="C90" s="579" t="s">
        <v>68</v>
      </c>
      <c r="D90" s="592" t="s">
        <v>59</v>
      </c>
      <c r="E90" s="593">
        <v>29.9</v>
      </c>
      <c r="F90" s="594">
        <v>35</v>
      </c>
      <c r="G90" s="595"/>
      <c r="H90" s="595" t="s">
        <v>2097</v>
      </c>
      <c r="I90" s="624">
        <f>E90*F90*15</f>
        <v>15697.5</v>
      </c>
      <c r="J90" s="610"/>
      <c r="N90" s="601"/>
      <c r="O90" s="602"/>
      <c r="P90" s="603"/>
    </row>
    <row r="91" spans="1:16" x14ac:dyDescent="0.3">
      <c r="B91" s="591" t="s">
        <v>1282</v>
      </c>
      <c r="C91" s="579" t="s">
        <v>70</v>
      </c>
      <c r="D91" s="592" t="s">
        <v>1354</v>
      </c>
      <c r="E91" s="593">
        <v>17</v>
      </c>
      <c r="F91" s="594">
        <v>35</v>
      </c>
      <c r="G91" s="595">
        <f>E91*F91</f>
        <v>595</v>
      </c>
      <c r="H91" s="595" t="s">
        <v>1438</v>
      </c>
      <c r="I91" s="625">
        <f>G91*9</f>
        <v>5355</v>
      </c>
      <c r="J91" s="610">
        <f>I91+I92</f>
        <v>10710</v>
      </c>
      <c r="N91" s="601"/>
      <c r="O91" s="602"/>
      <c r="P91" s="603"/>
    </row>
    <row r="92" spans="1:16" x14ac:dyDescent="0.3">
      <c r="B92" s="591" t="s">
        <v>1282</v>
      </c>
      <c r="C92" s="579" t="s">
        <v>70</v>
      </c>
      <c r="D92" s="592" t="s">
        <v>1354</v>
      </c>
      <c r="E92" s="593">
        <v>17</v>
      </c>
      <c r="F92" s="594">
        <v>35</v>
      </c>
      <c r="G92" s="595">
        <f>E92*F92</f>
        <v>595</v>
      </c>
      <c r="H92" s="595" t="s">
        <v>1438</v>
      </c>
      <c r="I92" s="625">
        <f>G92*9</f>
        <v>5355</v>
      </c>
      <c r="J92" s="610"/>
      <c r="N92" s="601"/>
      <c r="O92" s="602"/>
      <c r="P92" s="603"/>
    </row>
    <row r="93" spans="1:16" x14ac:dyDescent="0.3">
      <c r="B93" s="579" t="s">
        <v>6</v>
      </c>
      <c r="C93" s="579" t="s">
        <v>6</v>
      </c>
      <c r="D93" s="592"/>
      <c r="E93" s="593"/>
      <c r="F93" s="594"/>
      <c r="G93" s="595"/>
      <c r="H93" s="595"/>
      <c r="I93" s="596" t="s">
        <v>6</v>
      </c>
      <c r="N93" s="601"/>
      <c r="O93" s="602"/>
      <c r="P93" s="603"/>
    </row>
    <row r="94" spans="1:16" x14ac:dyDescent="0.3">
      <c r="A94" s="578">
        <v>299</v>
      </c>
      <c r="B94" s="591" t="s">
        <v>71</v>
      </c>
      <c r="C94" s="579" t="s">
        <v>105</v>
      </c>
      <c r="D94" s="592" t="s">
        <v>1396</v>
      </c>
      <c r="E94" s="593">
        <v>39.51</v>
      </c>
      <c r="F94" s="594">
        <v>40</v>
      </c>
      <c r="G94" s="595">
        <f>E94*F94</f>
        <v>1580.3999999999999</v>
      </c>
      <c r="H94" s="595">
        <f>G94*2</f>
        <v>3160.7999999999997</v>
      </c>
      <c r="I94" s="596">
        <f>G94*52.2</f>
        <v>82496.87999999999</v>
      </c>
      <c r="J94" s="597">
        <f>I94</f>
        <v>82496.87999999999</v>
      </c>
      <c r="K94" s="598">
        <f>J94*L94</f>
        <v>824.96879999999987</v>
      </c>
      <c r="L94" s="599">
        <v>0.01</v>
      </c>
      <c r="M94" s="609">
        <v>39244</v>
      </c>
      <c r="N94" s="601">
        <f>P94</f>
        <v>13</v>
      </c>
      <c r="O94" s="602">
        <v>44012</v>
      </c>
      <c r="P94" s="603">
        <f>DATEDIF(M94,O94,"Y")</f>
        <v>13</v>
      </c>
    </row>
    <row r="95" spans="1:16" x14ac:dyDescent="0.3">
      <c r="B95" s="591" t="s">
        <v>1247</v>
      </c>
      <c r="C95" s="579" t="s">
        <v>72</v>
      </c>
      <c r="D95" s="592" t="s">
        <v>1045</v>
      </c>
      <c r="E95" s="593">
        <v>26.06</v>
      </c>
      <c r="F95" s="594">
        <v>30</v>
      </c>
      <c r="G95" s="595">
        <f>E95*F95</f>
        <v>781.8</v>
      </c>
      <c r="H95" s="595">
        <f>G95*2</f>
        <v>1563.6</v>
      </c>
      <c r="I95" s="596">
        <f>G95*52.2</f>
        <v>40809.96</v>
      </c>
      <c r="J95" s="597">
        <f>I95</f>
        <v>40809.96</v>
      </c>
      <c r="M95" s="609">
        <v>42451</v>
      </c>
      <c r="N95" s="601">
        <f>P95</f>
        <v>4</v>
      </c>
      <c r="O95" s="602">
        <v>44012</v>
      </c>
      <c r="P95" s="603">
        <f>DATEDIF(M95,O95,"Y")</f>
        <v>4</v>
      </c>
    </row>
    <row r="96" spans="1:16" x14ac:dyDescent="0.3">
      <c r="D96" s="592"/>
      <c r="E96" s="593"/>
      <c r="F96" s="594"/>
      <c r="G96" s="595"/>
      <c r="H96" s="595"/>
      <c r="I96" s="596"/>
      <c r="N96" s="601"/>
      <c r="O96" s="602"/>
      <c r="P96" s="603"/>
    </row>
    <row r="97" spans="1:16" s="626" customFormat="1" x14ac:dyDescent="0.3">
      <c r="A97" s="578">
        <v>422</v>
      </c>
      <c r="B97" s="591" t="s">
        <v>73</v>
      </c>
      <c r="C97" s="579" t="s">
        <v>74</v>
      </c>
      <c r="D97" s="592" t="s">
        <v>1706</v>
      </c>
      <c r="E97" s="593">
        <v>43.85</v>
      </c>
      <c r="F97" s="594">
        <v>40</v>
      </c>
      <c r="G97" s="595">
        <f>E97*F97</f>
        <v>1754</v>
      </c>
      <c r="H97" s="595">
        <f>G97*2</f>
        <v>3508</v>
      </c>
      <c r="I97" s="596">
        <f>G97*52.2</f>
        <v>91558.8</v>
      </c>
      <c r="J97" s="597">
        <f>I97</f>
        <v>91558.8</v>
      </c>
      <c r="K97" s="598">
        <f>J97*L97</f>
        <v>2746.7640000000001</v>
      </c>
      <c r="L97" s="599">
        <v>0.03</v>
      </c>
      <c r="M97" s="609">
        <v>36642</v>
      </c>
      <c r="N97" s="601">
        <f>P97</f>
        <v>20</v>
      </c>
      <c r="O97" s="602">
        <v>44012</v>
      </c>
      <c r="P97" s="603">
        <f>DATEDIF(M97,O97,"Y")</f>
        <v>20</v>
      </c>
    </row>
    <row r="98" spans="1:16" x14ac:dyDescent="0.3">
      <c r="B98" s="591" t="s">
        <v>1248</v>
      </c>
      <c r="C98" s="579" t="s">
        <v>927</v>
      </c>
      <c r="D98" s="592" t="s">
        <v>1345</v>
      </c>
      <c r="E98" s="593">
        <v>20.05</v>
      </c>
      <c r="F98" s="594">
        <v>20</v>
      </c>
      <c r="G98" s="595">
        <f>E98*F98</f>
        <v>401</v>
      </c>
      <c r="H98" s="595">
        <f>G98*2</f>
        <v>802</v>
      </c>
      <c r="I98" s="596">
        <f>H98*21</f>
        <v>16842</v>
      </c>
      <c r="J98" s="610">
        <v>30000</v>
      </c>
      <c r="K98" s="627" t="s">
        <v>1065</v>
      </c>
      <c r="L98" s="628"/>
      <c r="M98" s="629"/>
      <c r="N98" s="601"/>
      <c r="O98" s="602"/>
      <c r="P98" s="603"/>
    </row>
    <row r="99" spans="1:16" s="626" customFormat="1" x14ac:dyDescent="0.3">
      <c r="A99" s="578"/>
      <c r="B99" s="591" t="s">
        <v>1049</v>
      </c>
      <c r="C99" s="579" t="s">
        <v>927</v>
      </c>
      <c r="D99" s="592" t="s">
        <v>86</v>
      </c>
      <c r="E99" s="593">
        <v>19.37</v>
      </c>
      <c r="F99" s="594">
        <v>20</v>
      </c>
      <c r="G99" s="595">
        <f>E99*F99</f>
        <v>387.40000000000003</v>
      </c>
      <c r="H99" s="595">
        <f>G99*2</f>
        <v>774.80000000000007</v>
      </c>
      <c r="I99" s="596">
        <f>H99*21</f>
        <v>16270.800000000001</v>
      </c>
      <c r="J99" s="610"/>
      <c r="K99" s="627"/>
      <c r="L99" s="628"/>
      <c r="M99" s="629"/>
      <c r="N99" s="601"/>
      <c r="O99" s="602"/>
      <c r="P99" s="603"/>
    </row>
    <row r="100" spans="1:16" x14ac:dyDescent="0.3">
      <c r="B100" s="591" t="s">
        <v>682</v>
      </c>
      <c r="C100" s="579" t="s">
        <v>1465</v>
      </c>
      <c r="D100" s="592"/>
      <c r="E100" s="593"/>
      <c r="F100" s="594"/>
      <c r="G100" s="595"/>
      <c r="H100" s="595"/>
      <c r="I100" s="596"/>
      <c r="J100" s="610">
        <v>50</v>
      </c>
      <c r="M100" s="604"/>
      <c r="N100" s="601"/>
      <c r="O100" s="602"/>
      <c r="P100" s="603"/>
    </row>
    <row r="101" spans="1:16" x14ac:dyDescent="0.3">
      <c r="D101" s="592"/>
      <c r="E101" s="593"/>
      <c r="F101" s="594"/>
      <c r="G101" s="595"/>
      <c r="H101" s="595"/>
      <c r="I101" s="596"/>
      <c r="N101" s="601"/>
      <c r="O101" s="602"/>
      <c r="P101" s="603"/>
    </row>
    <row r="102" spans="1:16" x14ac:dyDescent="0.3">
      <c r="A102" s="578">
        <v>491</v>
      </c>
      <c r="B102" s="591" t="s">
        <v>1355</v>
      </c>
      <c r="C102" s="579" t="s">
        <v>75</v>
      </c>
      <c r="D102" s="592" t="s">
        <v>1757</v>
      </c>
      <c r="E102" s="593">
        <v>28.92</v>
      </c>
      <c r="F102" s="594">
        <v>261</v>
      </c>
      <c r="G102" s="595"/>
      <c r="H102" s="595"/>
      <c r="I102" s="596"/>
      <c r="J102" s="610">
        <f>E102*F102</f>
        <v>7548.1200000000008</v>
      </c>
      <c r="M102" s="604"/>
      <c r="N102" s="601"/>
      <c r="O102" s="602"/>
      <c r="P102" s="603"/>
    </row>
    <row r="103" spans="1:16" x14ac:dyDescent="0.3">
      <c r="B103" s="591" t="s">
        <v>44</v>
      </c>
      <c r="C103" s="579" t="s">
        <v>1314</v>
      </c>
      <c r="D103" s="592" t="s">
        <v>1346</v>
      </c>
      <c r="E103" s="593">
        <v>47.03</v>
      </c>
      <c r="F103" s="594">
        <v>2</v>
      </c>
      <c r="G103" s="595">
        <f>E103*F103</f>
        <v>94.06</v>
      </c>
      <c r="H103" s="595">
        <f>G103*2</f>
        <v>188.12</v>
      </c>
      <c r="I103" s="596">
        <f>G103*52.2</f>
        <v>4909.9320000000007</v>
      </c>
      <c r="J103" s="597">
        <f>I103</f>
        <v>4909.9320000000007</v>
      </c>
      <c r="K103" s="598">
        <f>J103*L103</f>
        <v>49.099320000000006</v>
      </c>
      <c r="L103" s="599">
        <v>0.01</v>
      </c>
      <c r="M103" s="609">
        <v>40074</v>
      </c>
      <c r="N103" s="601">
        <f>P103</f>
        <v>10</v>
      </c>
      <c r="O103" s="602">
        <v>44012</v>
      </c>
      <c r="P103" s="603">
        <f>DATEDIF(M103,O103,"Y")</f>
        <v>10</v>
      </c>
    </row>
    <row r="104" spans="1:16" x14ac:dyDescent="0.3">
      <c r="B104" s="591" t="s">
        <v>1457</v>
      </c>
      <c r="C104" s="579" t="s">
        <v>1458</v>
      </c>
      <c r="D104" s="592"/>
      <c r="E104" s="593"/>
      <c r="F104" s="594"/>
      <c r="G104" s="595"/>
      <c r="H104" s="595"/>
      <c r="I104" s="596"/>
      <c r="J104" s="610">
        <v>250</v>
      </c>
      <c r="M104" s="604"/>
      <c r="N104" s="601"/>
      <c r="O104" s="602"/>
      <c r="P104" s="603"/>
    </row>
    <row r="105" spans="1:16" x14ac:dyDescent="0.3">
      <c r="D105" s="592"/>
      <c r="E105" s="593"/>
      <c r="F105" s="594"/>
      <c r="G105" s="595"/>
      <c r="H105" s="595"/>
      <c r="I105" s="596"/>
      <c r="N105" s="601"/>
      <c r="O105" s="602"/>
      <c r="P105" s="603"/>
    </row>
    <row r="106" spans="1:16" x14ac:dyDescent="0.3">
      <c r="A106" s="578">
        <v>510</v>
      </c>
      <c r="B106" s="591" t="s">
        <v>76</v>
      </c>
      <c r="C106" s="579" t="s">
        <v>1070</v>
      </c>
      <c r="D106" s="592" t="s">
        <v>219</v>
      </c>
      <c r="E106" s="593">
        <v>36.83</v>
      </c>
      <c r="F106" s="594">
        <v>35</v>
      </c>
      <c r="G106" s="595">
        <f>E106*F106</f>
        <v>1289.05</v>
      </c>
      <c r="H106" s="595">
        <f>G106*2</f>
        <v>2578.1</v>
      </c>
      <c r="I106" s="596">
        <f>G106*52.2</f>
        <v>67288.41</v>
      </c>
      <c r="J106" s="597">
        <f>I106</f>
        <v>67288.41</v>
      </c>
      <c r="K106" s="598">
        <f>J106*L106</f>
        <v>672.8841000000001</v>
      </c>
      <c r="L106" s="599">
        <v>0.01</v>
      </c>
      <c r="M106" s="609">
        <v>39778</v>
      </c>
      <c r="N106" s="601">
        <f>P106</f>
        <v>11</v>
      </c>
      <c r="O106" s="602">
        <v>44012</v>
      </c>
      <c r="P106" s="603">
        <f>DATEDIF(M106,O106,"Y")</f>
        <v>11</v>
      </c>
    </row>
    <row r="107" spans="1:16" x14ac:dyDescent="0.3">
      <c r="B107" s="591" t="s">
        <v>1340</v>
      </c>
      <c r="C107" s="579" t="s">
        <v>1459</v>
      </c>
      <c r="D107" s="592"/>
      <c r="E107" s="593"/>
      <c r="F107" s="594"/>
      <c r="G107" s="595"/>
      <c r="H107" s="595"/>
      <c r="I107" s="596"/>
      <c r="J107" s="610">
        <v>1500</v>
      </c>
      <c r="K107" s="598"/>
      <c r="M107" s="606"/>
      <c r="N107" s="601"/>
      <c r="O107" s="602"/>
      <c r="P107" s="603"/>
    </row>
    <row r="108" spans="1:16" x14ac:dyDescent="0.3">
      <c r="D108" s="592"/>
      <c r="E108" s="593"/>
      <c r="F108" s="594"/>
      <c r="G108" s="595"/>
      <c r="H108" s="595"/>
      <c r="I108" s="596"/>
      <c r="N108" s="601"/>
      <c r="O108" s="602"/>
      <c r="P108" s="603"/>
    </row>
    <row r="109" spans="1:16" x14ac:dyDescent="0.3">
      <c r="A109" s="578">
        <v>610</v>
      </c>
      <c r="B109" s="591" t="s">
        <v>77</v>
      </c>
      <c r="C109" s="579" t="s">
        <v>78</v>
      </c>
      <c r="D109" s="592" t="s">
        <v>1052</v>
      </c>
      <c r="E109" s="593">
        <v>50.38</v>
      </c>
      <c r="F109" s="594">
        <v>38</v>
      </c>
      <c r="G109" s="595">
        <f>E109*F109</f>
        <v>1914.44</v>
      </c>
      <c r="H109" s="595">
        <f>G109*2</f>
        <v>3828.88</v>
      </c>
      <c r="I109" s="596">
        <f>G109*52.2</f>
        <v>99933.768000000011</v>
      </c>
      <c r="J109" s="597">
        <f>I109</f>
        <v>99933.768000000011</v>
      </c>
      <c r="K109" s="598">
        <f>J109*L109</f>
        <v>999.33768000000009</v>
      </c>
      <c r="L109" s="599">
        <v>0.01</v>
      </c>
      <c r="M109" s="609">
        <v>38882</v>
      </c>
      <c r="N109" s="601">
        <f>P109</f>
        <v>14</v>
      </c>
      <c r="O109" s="602">
        <v>44012</v>
      </c>
      <c r="P109" s="603">
        <f>DATEDIF(M109,O109,"Y")</f>
        <v>14</v>
      </c>
    </row>
    <row r="110" spans="1:16" x14ac:dyDescent="0.3">
      <c r="B110" s="591" t="s">
        <v>1268</v>
      </c>
      <c r="C110" s="579" t="s">
        <v>1267</v>
      </c>
      <c r="D110" s="592" t="s">
        <v>1246</v>
      </c>
      <c r="E110" s="593">
        <v>34.43</v>
      </c>
      <c r="F110" s="594">
        <v>35</v>
      </c>
      <c r="G110" s="595">
        <f>E110*F110</f>
        <v>1205.05</v>
      </c>
      <c r="H110" s="595">
        <f>G110*2</f>
        <v>2410.1</v>
      </c>
      <c r="I110" s="596">
        <f>G110*52.2</f>
        <v>62903.61</v>
      </c>
      <c r="J110" s="597">
        <f>I110</f>
        <v>62903.61</v>
      </c>
      <c r="M110" s="609">
        <v>42675</v>
      </c>
      <c r="N110" s="601">
        <f>P110</f>
        <v>3</v>
      </c>
      <c r="O110" s="602">
        <v>44012</v>
      </c>
      <c r="P110" s="603">
        <f>DATEDIF(M110,O110,"Y")</f>
        <v>3</v>
      </c>
    </row>
    <row r="111" spans="1:16" x14ac:dyDescent="0.3">
      <c r="B111" s="591" t="s">
        <v>79</v>
      </c>
      <c r="C111" s="579" t="s">
        <v>1269</v>
      </c>
      <c r="D111" s="592" t="s">
        <v>1367</v>
      </c>
      <c r="E111" s="593">
        <v>33.19</v>
      </c>
      <c r="F111" s="594">
        <v>35</v>
      </c>
      <c r="G111" s="595">
        <f>E111*F111</f>
        <v>1161.6499999999999</v>
      </c>
      <c r="H111" s="595">
        <f>G111*2</f>
        <v>2323.2999999999997</v>
      </c>
      <c r="I111" s="596">
        <f>G111*52.2</f>
        <v>60638.13</v>
      </c>
      <c r="J111" s="597">
        <f>I111</f>
        <v>60638.13</v>
      </c>
      <c r="K111" s="598">
        <f>J111*L111</f>
        <v>606.38130000000001</v>
      </c>
      <c r="L111" s="599">
        <v>0.01</v>
      </c>
      <c r="M111" s="609">
        <v>39713</v>
      </c>
      <c r="N111" s="601">
        <f>P111</f>
        <v>11</v>
      </c>
      <c r="O111" s="602">
        <v>44012</v>
      </c>
      <c r="P111" s="603">
        <f>DATEDIF(M111,O111,"Y")</f>
        <v>11</v>
      </c>
    </row>
    <row r="112" spans="1:16" x14ac:dyDescent="0.3">
      <c r="B112" s="630" t="s">
        <v>1707</v>
      </c>
      <c r="C112" s="579" t="s">
        <v>1413</v>
      </c>
      <c r="D112" s="592" t="s">
        <v>1351</v>
      </c>
      <c r="E112" s="593">
        <v>23.65</v>
      </c>
      <c r="F112" s="594">
        <v>29</v>
      </c>
      <c r="G112" s="595">
        <f>E112*F112</f>
        <v>685.84999999999991</v>
      </c>
      <c r="H112" s="595">
        <f>G112*2</f>
        <v>1371.6999999999998</v>
      </c>
      <c r="I112" s="596">
        <f>G112*52.2</f>
        <v>35801.369999999995</v>
      </c>
      <c r="J112" s="631">
        <v>34567</v>
      </c>
      <c r="N112" s="601"/>
      <c r="O112" s="602"/>
      <c r="P112" s="603"/>
    </row>
    <row r="113" spans="1:16" x14ac:dyDescent="0.3">
      <c r="B113" s="630" t="s">
        <v>1412</v>
      </c>
      <c r="C113" s="579" t="s">
        <v>1411</v>
      </c>
      <c r="D113" s="592" t="s">
        <v>1270</v>
      </c>
      <c r="E113" s="593">
        <v>20.76</v>
      </c>
      <c r="F113" s="594" t="s">
        <v>66</v>
      </c>
      <c r="G113" s="595"/>
      <c r="H113" s="595"/>
      <c r="I113" s="596"/>
      <c r="J113" s="610">
        <v>56090</v>
      </c>
      <c r="N113" s="601"/>
      <c r="O113" s="602"/>
      <c r="P113" s="603"/>
    </row>
    <row r="114" spans="1:16" x14ac:dyDescent="0.3">
      <c r="D114" s="592"/>
      <c r="E114" s="593"/>
      <c r="F114" s="594"/>
      <c r="G114" s="595"/>
      <c r="H114" s="595"/>
      <c r="I114" s="596"/>
      <c r="N114" s="601"/>
      <c r="O114" s="602"/>
      <c r="P114" s="603"/>
    </row>
    <row r="115" spans="1:16" x14ac:dyDescent="0.3">
      <c r="A115" s="578">
        <v>630</v>
      </c>
      <c r="B115" s="591" t="s">
        <v>80</v>
      </c>
      <c r="C115" s="579" t="s">
        <v>81</v>
      </c>
      <c r="D115" s="632" t="s">
        <v>41</v>
      </c>
      <c r="E115" s="593">
        <v>40.89</v>
      </c>
      <c r="F115" s="633">
        <v>840</v>
      </c>
      <c r="G115" s="634">
        <f>E115*F115</f>
        <v>34347.599999999999</v>
      </c>
      <c r="H115" s="634"/>
      <c r="I115" s="635"/>
      <c r="J115" s="597">
        <f>G115</f>
        <v>34347.599999999999</v>
      </c>
      <c r="N115" s="601"/>
      <c r="O115" s="602"/>
      <c r="P115" s="603"/>
    </row>
    <row r="116" spans="1:16" x14ac:dyDescent="0.3">
      <c r="B116" s="591" t="s">
        <v>1126</v>
      </c>
      <c r="C116" s="579" t="s">
        <v>1712</v>
      </c>
      <c r="D116" s="592" t="s">
        <v>108</v>
      </c>
      <c r="E116" s="593">
        <v>29.9</v>
      </c>
      <c r="F116" s="633">
        <v>360</v>
      </c>
      <c r="G116" s="634">
        <f>E116*F116</f>
        <v>10764</v>
      </c>
      <c r="H116" s="595"/>
      <c r="I116" s="596"/>
      <c r="J116" s="610">
        <v>14322.72</v>
      </c>
      <c r="N116" s="601"/>
      <c r="O116" s="602"/>
      <c r="P116" s="603"/>
    </row>
    <row r="117" spans="1:16" x14ac:dyDescent="0.3">
      <c r="B117" s="591" t="s">
        <v>82</v>
      </c>
      <c r="C117" s="579" t="s">
        <v>83</v>
      </c>
      <c r="D117" s="592" t="s">
        <v>1053</v>
      </c>
      <c r="E117" s="593">
        <v>23</v>
      </c>
      <c r="F117" s="633" t="s">
        <v>66</v>
      </c>
      <c r="G117" s="595"/>
      <c r="H117" s="595"/>
      <c r="I117" s="596"/>
      <c r="J117" s="610">
        <v>125730.29</v>
      </c>
      <c r="N117" s="601"/>
      <c r="O117" s="602"/>
      <c r="P117" s="603"/>
    </row>
    <row r="118" spans="1:16" x14ac:dyDescent="0.3">
      <c r="B118" s="591" t="s">
        <v>82</v>
      </c>
      <c r="C118" s="579" t="s">
        <v>84</v>
      </c>
      <c r="D118" s="592" t="s">
        <v>1345</v>
      </c>
      <c r="E118" s="593">
        <v>20.05</v>
      </c>
      <c r="F118" s="633">
        <v>40</v>
      </c>
      <c r="G118" s="634">
        <f>E118*F118</f>
        <v>802</v>
      </c>
      <c r="H118" s="595" t="s">
        <v>1249</v>
      </c>
      <c r="I118" s="596">
        <v>11873.81</v>
      </c>
      <c r="J118" s="610">
        <f>I118</f>
        <v>11873.81</v>
      </c>
      <c r="N118" s="601"/>
      <c r="O118" s="602"/>
      <c r="P118" s="603"/>
    </row>
    <row r="119" spans="1:16" x14ac:dyDescent="0.3">
      <c r="B119" s="591" t="s">
        <v>82</v>
      </c>
      <c r="C119" s="579" t="s">
        <v>85</v>
      </c>
      <c r="D119" s="592" t="s">
        <v>1708</v>
      </c>
      <c r="E119" s="593">
        <v>21.47</v>
      </c>
      <c r="F119" s="633" t="s">
        <v>66</v>
      </c>
      <c r="G119" s="595"/>
      <c r="H119" s="595"/>
      <c r="I119" s="596">
        <v>13740.8</v>
      </c>
      <c r="J119" s="610">
        <f>I119</f>
        <v>13740.8</v>
      </c>
      <c r="N119" s="601"/>
      <c r="O119" s="602"/>
      <c r="P119" s="603"/>
    </row>
    <row r="120" spans="1:16" x14ac:dyDescent="0.3">
      <c r="B120" s="591" t="s">
        <v>82</v>
      </c>
      <c r="C120" s="579" t="s">
        <v>87</v>
      </c>
      <c r="D120" s="592" t="s">
        <v>1709</v>
      </c>
      <c r="E120" s="593">
        <v>17.100000000000001</v>
      </c>
      <c r="F120" s="633" t="s">
        <v>66</v>
      </c>
      <c r="G120" s="595"/>
      <c r="H120" s="595"/>
      <c r="I120" s="596">
        <v>10161.799999999999</v>
      </c>
      <c r="J120" s="610">
        <f>I120</f>
        <v>10161.799999999999</v>
      </c>
      <c r="N120" s="601"/>
      <c r="O120" s="602"/>
      <c r="P120" s="603"/>
    </row>
    <row r="121" spans="1:16" x14ac:dyDescent="0.3">
      <c r="D121" s="592"/>
      <c r="E121" s="593"/>
      <c r="F121" s="594"/>
      <c r="G121" s="595"/>
      <c r="H121" s="595"/>
      <c r="I121" s="596"/>
      <c r="M121" s="604"/>
      <c r="N121" s="601"/>
      <c r="O121" s="602"/>
      <c r="P121" s="603"/>
    </row>
    <row r="122" spans="1:16" x14ac:dyDescent="0.3">
      <c r="A122" s="578">
        <v>691</v>
      </c>
      <c r="B122" s="591" t="s">
        <v>33</v>
      </c>
      <c r="C122" s="579" t="s">
        <v>1062</v>
      </c>
      <c r="D122" s="592" t="s">
        <v>1052</v>
      </c>
      <c r="E122" s="593">
        <v>50.38</v>
      </c>
      <c r="F122" s="594">
        <v>0.5</v>
      </c>
      <c r="G122" s="595">
        <f>E122*F122</f>
        <v>25.19</v>
      </c>
      <c r="H122" s="595">
        <f>G122*2</f>
        <v>50.38</v>
      </c>
      <c r="I122" s="596">
        <f>G122*52.2</f>
        <v>1314.9180000000001</v>
      </c>
      <c r="J122" s="597">
        <f>I122</f>
        <v>1314.9180000000001</v>
      </c>
      <c r="K122" s="598">
        <f>J122*L122</f>
        <v>13.149180000000001</v>
      </c>
      <c r="L122" s="599">
        <v>0.01</v>
      </c>
      <c r="M122" s="609">
        <v>38534</v>
      </c>
      <c r="N122" s="601">
        <f>P122</f>
        <v>14</v>
      </c>
      <c r="O122" s="602">
        <v>44012</v>
      </c>
      <c r="P122" s="603">
        <f>DATEDIF(M122,O122,"Y")</f>
        <v>14</v>
      </c>
    </row>
    <row r="123" spans="1:16" x14ac:dyDescent="0.3">
      <c r="B123" s="636"/>
      <c r="C123" s="636"/>
      <c r="D123" s="592"/>
      <c r="E123" s="593"/>
      <c r="F123" s="633"/>
      <c r="G123" s="595"/>
      <c r="H123" s="595"/>
      <c r="I123" s="596"/>
      <c r="N123" s="601"/>
      <c r="O123" s="602"/>
      <c r="P123" s="603"/>
    </row>
    <row r="124" spans="1:16" x14ac:dyDescent="0.3">
      <c r="A124" s="578">
        <v>231</v>
      </c>
      <c r="B124" s="591" t="s">
        <v>1356</v>
      </c>
      <c r="C124" s="579" t="s">
        <v>1131</v>
      </c>
      <c r="D124" s="592" t="s">
        <v>1710</v>
      </c>
      <c r="E124" s="593">
        <v>48.74</v>
      </c>
      <c r="F124" s="594">
        <v>40</v>
      </c>
      <c r="G124" s="595">
        <f t="shared" ref="G124:G129" si="1">E124*F124</f>
        <v>1949.6000000000001</v>
      </c>
      <c r="H124" s="595">
        <f t="shared" ref="H124:H130" si="2">G124*2</f>
        <v>3899.2000000000003</v>
      </c>
      <c r="I124" s="596">
        <f t="shared" ref="I124:I130" si="3">G124*52.2</f>
        <v>101769.12000000001</v>
      </c>
      <c r="J124" s="597">
        <f t="shared" ref="J124:J129" si="4">I124</f>
        <v>101769.12000000001</v>
      </c>
      <c r="M124" s="609">
        <v>40940</v>
      </c>
      <c r="N124" s="601">
        <f t="shared" ref="N124:N130" si="5">P124</f>
        <v>8</v>
      </c>
      <c r="O124" s="602">
        <v>44012</v>
      </c>
      <c r="P124" s="603">
        <f t="shared" ref="P124:P130" si="6">DATEDIF(M124,O124,"Y")</f>
        <v>8</v>
      </c>
    </row>
    <row r="125" spans="1:16" x14ac:dyDescent="0.3">
      <c r="B125" s="591" t="s">
        <v>111</v>
      </c>
      <c r="C125" s="579" t="s">
        <v>1132</v>
      </c>
      <c r="D125" s="592" t="s">
        <v>1122</v>
      </c>
      <c r="E125" s="593">
        <v>42.38</v>
      </c>
      <c r="F125" s="594">
        <v>40</v>
      </c>
      <c r="G125" s="595">
        <f t="shared" si="1"/>
        <v>1695.2</v>
      </c>
      <c r="H125" s="595">
        <f t="shared" si="2"/>
        <v>3390.4</v>
      </c>
      <c r="I125" s="596">
        <f t="shared" si="3"/>
        <v>88489.44</v>
      </c>
      <c r="J125" s="597">
        <f>I125</f>
        <v>88489.44</v>
      </c>
      <c r="M125" s="609">
        <v>41212</v>
      </c>
      <c r="N125" s="601">
        <f t="shared" si="5"/>
        <v>7</v>
      </c>
      <c r="O125" s="602">
        <v>44012</v>
      </c>
      <c r="P125" s="603">
        <f t="shared" si="6"/>
        <v>7</v>
      </c>
    </row>
    <row r="126" spans="1:16" x14ac:dyDescent="0.3">
      <c r="B126" s="591" t="s">
        <v>1266</v>
      </c>
      <c r="C126" s="579" t="s">
        <v>1129</v>
      </c>
      <c r="D126" s="592" t="s">
        <v>1350</v>
      </c>
      <c r="E126" s="593">
        <v>35.64</v>
      </c>
      <c r="F126" s="594">
        <v>40</v>
      </c>
      <c r="G126" s="595">
        <f t="shared" si="1"/>
        <v>1425.6</v>
      </c>
      <c r="H126" s="595">
        <f t="shared" si="2"/>
        <v>2851.2</v>
      </c>
      <c r="I126" s="596">
        <f t="shared" si="3"/>
        <v>74416.319999999992</v>
      </c>
      <c r="J126" s="597">
        <f t="shared" si="4"/>
        <v>74416.319999999992</v>
      </c>
      <c r="M126" s="609">
        <v>42416</v>
      </c>
      <c r="N126" s="601">
        <f t="shared" si="5"/>
        <v>4</v>
      </c>
      <c r="O126" s="602">
        <v>44012</v>
      </c>
      <c r="P126" s="603">
        <f t="shared" si="6"/>
        <v>4</v>
      </c>
    </row>
    <row r="127" spans="1:16" x14ac:dyDescent="0.3">
      <c r="B127" s="591" t="s">
        <v>1251</v>
      </c>
      <c r="C127" s="579" t="s">
        <v>1130</v>
      </c>
      <c r="D127" s="592" t="s">
        <v>1350</v>
      </c>
      <c r="E127" s="593">
        <v>35.64</v>
      </c>
      <c r="F127" s="594">
        <v>40</v>
      </c>
      <c r="G127" s="595">
        <f t="shared" si="1"/>
        <v>1425.6</v>
      </c>
      <c r="H127" s="595">
        <f t="shared" si="2"/>
        <v>2851.2</v>
      </c>
      <c r="I127" s="596">
        <f t="shared" si="3"/>
        <v>74416.319999999992</v>
      </c>
      <c r="J127" s="597">
        <f t="shared" si="4"/>
        <v>74416.319999999992</v>
      </c>
      <c r="M127" s="609">
        <v>42508</v>
      </c>
      <c r="N127" s="601">
        <f t="shared" si="5"/>
        <v>4</v>
      </c>
      <c r="O127" s="602">
        <v>44012</v>
      </c>
      <c r="P127" s="603">
        <f t="shared" si="6"/>
        <v>4</v>
      </c>
    </row>
    <row r="128" spans="1:16" x14ac:dyDescent="0.3">
      <c r="B128" s="591" t="s">
        <v>1134</v>
      </c>
      <c r="C128" s="579" t="s">
        <v>1133</v>
      </c>
      <c r="D128" s="592" t="s">
        <v>1704</v>
      </c>
      <c r="E128" s="593">
        <v>36.880000000000003</v>
      </c>
      <c r="F128" s="594">
        <v>40</v>
      </c>
      <c r="G128" s="595">
        <f t="shared" si="1"/>
        <v>1475.2</v>
      </c>
      <c r="H128" s="595">
        <f t="shared" si="2"/>
        <v>2950.4</v>
      </c>
      <c r="I128" s="596">
        <f t="shared" si="3"/>
        <v>77005.440000000002</v>
      </c>
      <c r="J128" s="597">
        <f t="shared" si="4"/>
        <v>77005.440000000002</v>
      </c>
      <c r="M128" s="609">
        <v>42209</v>
      </c>
      <c r="N128" s="601">
        <f t="shared" si="5"/>
        <v>4</v>
      </c>
      <c r="O128" s="602">
        <v>44012</v>
      </c>
      <c r="P128" s="603">
        <f t="shared" si="6"/>
        <v>4</v>
      </c>
    </row>
    <row r="129" spans="2:16" x14ac:dyDescent="0.3">
      <c r="B129" s="591" t="s">
        <v>2132</v>
      </c>
      <c r="C129" s="579" t="s">
        <v>1451</v>
      </c>
      <c r="D129" s="592" t="s">
        <v>1368</v>
      </c>
      <c r="E129" s="593">
        <v>33.26</v>
      </c>
      <c r="F129" s="594">
        <v>30</v>
      </c>
      <c r="G129" s="595">
        <f t="shared" si="1"/>
        <v>997.8</v>
      </c>
      <c r="H129" s="595">
        <f t="shared" si="2"/>
        <v>1995.6</v>
      </c>
      <c r="I129" s="596">
        <f t="shared" si="3"/>
        <v>52085.16</v>
      </c>
      <c r="J129" s="597">
        <f t="shared" si="4"/>
        <v>52085.16</v>
      </c>
      <c r="M129" s="609">
        <v>42207</v>
      </c>
      <c r="N129" s="601">
        <f t="shared" si="5"/>
        <v>4</v>
      </c>
      <c r="O129" s="602">
        <v>44012</v>
      </c>
      <c r="P129" s="603">
        <f>DATEDIF(M129,O129,"Y")</f>
        <v>4</v>
      </c>
    </row>
    <row r="130" spans="2:16" x14ac:dyDescent="0.3">
      <c r="B130" s="591" t="s">
        <v>1135</v>
      </c>
      <c r="C130" s="579" t="s">
        <v>1136</v>
      </c>
      <c r="D130" s="592" t="s">
        <v>1713</v>
      </c>
      <c r="E130" s="593">
        <v>33.229999999999997</v>
      </c>
      <c r="F130" s="594">
        <v>25</v>
      </c>
      <c r="G130" s="595">
        <f>E130*F130</f>
        <v>830.74999999999989</v>
      </c>
      <c r="H130" s="595">
        <f t="shared" si="2"/>
        <v>1661.4999999999998</v>
      </c>
      <c r="I130" s="596">
        <f t="shared" si="3"/>
        <v>43365.149999999994</v>
      </c>
      <c r="J130" s="597">
        <f>I130</f>
        <v>43365.149999999994</v>
      </c>
      <c r="M130" s="609">
        <v>42207</v>
      </c>
      <c r="N130" s="601">
        <f t="shared" si="5"/>
        <v>4</v>
      </c>
      <c r="O130" s="602">
        <v>44012</v>
      </c>
      <c r="P130" s="603">
        <f t="shared" si="6"/>
        <v>4</v>
      </c>
    </row>
    <row r="131" spans="2:16" x14ac:dyDescent="0.3">
      <c r="B131" s="591" t="s">
        <v>66</v>
      </c>
      <c r="C131" s="637" t="s">
        <v>1142</v>
      </c>
      <c r="D131" s="638" t="s">
        <v>1143</v>
      </c>
      <c r="E131" s="639" t="s">
        <v>1144</v>
      </c>
      <c r="F131" s="640">
        <v>365</v>
      </c>
      <c r="G131" s="641">
        <f>130*365</f>
        <v>47450</v>
      </c>
      <c r="H131" s="641"/>
      <c r="I131" s="642"/>
      <c r="J131" s="643"/>
    </row>
    <row r="132" spans="2:16" x14ac:dyDescent="0.3">
      <c r="B132" s="591" t="s">
        <v>66</v>
      </c>
      <c r="C132" s="644" t="s">
        <v>1142</v>
      </c>
      <c r="D132" s="645" t="s">
        <v>1143</v>
      </c>
      <c r="E132" s="646" t="s">
        <v>1144</v>
      </c>
      <c r="F132" s="647">
        <v>365</v>
      </c>
      <c r="G132" s="648">
        <f>130*365</f>
        <v>47450</v>
      </c>
      <c r="H132" s="648"/>
      <c r="I132" s="649"/>
      <c r="J132" s="610">
        <f>SUM(G131:G132)</f>
        <v>94900</v>
      </c>
    </row>
    <row r="133" spans="2:16" x14ac:dyDescent="0.3">
      <c r="B133" s="591" t="s">
        <v>1138</v>
      </c>
      <c r="C133" s="637" t="s">
        <v>1145</v>
      </c>
      <c r="D133" s="638" t="s">
        <v>59</v>
      </c>
      <c r="E133" s="639">
        <v>29.9</v>
      </c>
      <c r="F133" s="650">
        <v>70</v>
      </c>
      <c r="G133" s="641">
        <f>E133*F133</f>
        <v>2093</v>
      </c>
      <c r="H133" s="651" t="s">
        <v>1140</v>
      </c>
      <c r="I133" s="642">
        <f>G133*20</f>
        <v>41860</v>
      </c>
      <c r="J133" s="610"/>
    </row>
    <row r="134" spans="2:16" x14ac:dyDescent="0.3">
      <c r="B134" s="591" t="s">
        <v>1137</v>
      </c>
      <c r="C134" s="652" t="s">
        <v>1145</v>
      </c>
      <c r="D134" s="632" t="s">
        <v>59</v>
      </c>
      <c r="E134" s="653">
        <v>29.9</v>
      </c>
      <c r="F134" s="633">
        <v>70</v>
      </c>
      <c r="G134" s="634">
        <f>E134*F134</f>
        <v>2093</v>
      </c>
      <c r="H134" s="654" t="s">
        <v>1140</v>
      </c>
      <c r="I134" s="635">
        <f>G134*20</f>
        <v>41860</v>
      </c>
      <c r="J134" s="610"/>
    </row>
    <row r="135" spans="2:16" x14ac:dyDescent="0.3">
      <c r="B135" s="591" t="s">
        <v>1139</v>
      </c>
      <c r="C135" s="644" t="s">
        <v>1145</v>
      </c>
      <c r="D135" s="645" t="s">
        <v>59</v>
      </c>
      <c r="E135" s="653">
        <v>29.9</v>
      </c>
      <c r="F135" s="655">
        <v>70</v>
      </c>
      <c r="G135" s="648">
        <f>E135*F135</f>
        <v>2093</v>
      </c>
      <c r="H135" s="656" t="s">
        <v>1140</v>
      </c>
      <c r="I135" s="649">
        <f>G135*20</f>
        <v>41860</v>
      </c>
      <c r="J135" s="610">
        <v>122892</v>
      </c>
    </row>
    <row r="136" spans="2:16" x14ac:dyDescent="0.3">
      <c r="B136" s="591" t="s">
        <v>66</v>
      </c>
      <c r="C136" s="579" t="s">
        <v>1158</v>
      </c>
      <c r="D136" s="632" t="s">
        <v>59</v>
      </c>
      <c r="E136" s="639" t="s">
        <v>1155</v>
      </c>
      <c r="F136" s="657" t="s">
        <v>1157</v>
      </c>
      <c r="G136" s="634">
        <f>110*7</f>
        <v>770</v>
      </c>
      <c r="H136" s="658" t="s">
        <v>1156</v>
      </c>
      <c r="I136" s="596">
        <f>110*225*2</f>
        <v>49500</v>
      </c>
      <c r="J136" s="610">
        <f>I136</f>
        <v>49500</v>
      </c>
    </row>
    <row r="137" spans="2:16" x14ac:dyDescent="0.3">
      <c r="B137" s="591" t="s">
        <v>66</v>
      </c>
      <c r="C137" s="579" t="s">
        <v>1146</v>
      </c>
      <c r="D137" s="592" t="s">
        <v>1702</v>
      </c>
      <c r="E137" s="593">
        <v>35.6</v>
      </c>
      <c r="F137" s="594">
        <v>50</v>
      </c>
      <c r="G137" s="634">
        <f>E137*F137</f>
        <v>1780</v>
      </c>
      <c r="H137" s="658" t="s">
        <v>1151</v>
      </c>
      <c r="I137" s="596">
        <f>G137*26.1</f>
        <v>46458</v>
      </c>
      <c r="J137" s="610"/>
    </row>
    <row r="138" spans="2:16" x14ac:dyDescent="0.3">
      <c r="B138" s="591" t="s">
        <v>66</v>
      </c>
      <c r="C138" s="579" t="s">
        <v>1147</v>
      </c>
      <c r="D138" s="632" t="s">
        <v>1143</v>
      </c>
      <c r="E138" s="653" t="s">
        <v>1144</v>
      </c>
      <c r="F138" s="594"/>
      <c r="G138" s="595"/>
      <c r="H138" s="595"/>
      <c r="I138" s="596"/>
      <c r="J138" s="610"/>
    </row>
    <row r="139" spans="2:16" x14ac:dyDescent="0.3">
      <c r="B139" s="591" t="s">
        <v>66</v>
      </c>
      <c r="C139" s="614" t="s">
        <v>1305</v>
      </c>
      <c r="D139" s="659" t="s">
        <v>1306</v>
      </c>
      <c r="E139" s="653"/>
      <c r="F139" s="594"/>
      <c r="G139" s="595"/>
      <c r="H139" s="595"/>
      <c r="I139" s="596"/>
      <c r="J139" s="597">
        <v>16060.8</v>
      </c>
    </row>
    <row r="140" spans="2:16" x14ac:dyDescent="0.3">
      <c r="B140" s="591" t="s">
        <v>66</v>
      </c>
      <c r="C140" s="579" t="s">
        <v>1148</v>
      </c>
      <c r="D140" s="660"/>
      <c r="E140" s="661"/>
      <c r="I140" s="663"/>
      <c r="J140" s="597">
        <v>4000</v>
      </c>
    </row>
    <row r="141" spans="2:16" x14ac:dyDescent="0.3">
      <c r="B141" s="591" t="s">
        <v>66</v>
      </c>
      <c r="C141" s="579" t="s">
        <v>1149</v>
      </c>
      <c r="D141" s="660"/>
      <c r="E141" s="661"/>
      <c r="I141" s="663"/>
      <c r="J141" s="597">
        <v>15000</v>
      </c>
    </row>
    <row r="142" spans="2:16" x14ac:dyDescent="0.3">
      <c r="B142" s="591" t="s">
        <v>66</v>
      </c>
      <c r="C142" s="579" t="s">
        <v>1150</v>
      </c>
      <c r="D142" s="660"/>
      <c r="E142" s="661"/>
      <c r="I142" s="663"/>
      <c r="J142" s="597">
        <v>18000</v>
      </c>
    </row>
    <row r="143" spans="2:16" x14ac:dyDescent="0.3">
      <c r="B143" s="591"/>
      <c r="C143" s="579" t="s">
        <v>1239</v>
      </c>
      <c r="D143" s="660"/>
      <c r="E143" s="661"/>
      <c r="I143" s="663"/>
      <c r="J143" s="610">
        <v>10000</v>
      </c>
    </row>
    <row r="144" spans="2:16" x14ac:dyDescent="0.3">
      <c r="E144" s="662"/>
      <c r="I144" s="663"/>
      <c r="K144" s="607" t="s">
        <v>1315</v>
      </c>
    </row>
    <row r="145" spans="5:15" x14ac:dyDescent="0.3">
      <c r="E145" s="662"/>
      <c r="F145" s="662" t="s">
        <v>2130</v>
      </c>
      <c r="I145" s="664" t="s">
        <v>1460</v>
      </c>
      <c r="J145" s="665">
        <f>SUM(J3:J143)</f>
        <v>3643391.8339999993</v>
      </c>
      <c r="K145" s="666">
        <f>SUM(K3:K143)</f>
        <v>31417.54736</v>
      </c>
      <c r="L145" s="667"/>
      <c r="M145" s="668"/>
    </row>
    <row r="146" spans="5:15" x14ac:dyDescent="0.3">
      <c r="E146" s="662"/>
      <c r="F146" s="662" t="s">
        <v>1315</v>
      </c>
      <c r="I146" s="669" t="s">
        <v>1461</v>
      </c>
      <c r="J146" s="670">
        <f>K145</f>
        <v>31417.54736</v>
      </c>
      <c r="K146" s="671"/>
      <c r="L146" s="667"/>
      <c r="M146" s="668"/>
    </row>
    <row r="147" spans="5:15" x14ac:dyDescent="0.3">
      <c r="E147" s="662"/>
      <c r="F147" s="662" t="s">
        <v>2131</v>
      </c>
      <c r="I147" s="664" t="s">
        <v>1462</v>
      </c>
      <c r="J147" s="672">
        <f>SUM(J145:J146)</f>
        <v>3674809.3813599995</v>
      </c>
      <c r="L147" s="628" t="s">
        <v>1474</v>
      </c>
      <c r="M147" s="627" t="s">
        <v>1304</v>
      </c>
      <c r="O147" s="627" t="s">
        <v>2156</v>
      </c>
    </row>
    <row r="148" spans="5:15" ht="18" x14ac:dyDescent="0.35">
      <c r="E148" s="662"/>
      <c r="F148" s="662" t="s">
        <v>221</v>
      </c>
      <c r="I148" s="664" t="s">
        <v>1463</v>
      </c>
      <c r="J148" s="673">
        <f>-SUM(J124:J143)</f>
        <v>-841899.75000000012</v>
      </c>
      <c r="L148" s="674">
        <f>-J148*0.003</f>
        <v>2525.6992500000006</v>
      </c>
      <c r="M148" s="674">
        <f>-J148*0.0145</f>
        <v>12207.546375000002</v>
      </c>
      <c r="O148" s="783"/>
    </row>
    <row r="149" spans="5:15" x14ac:dyDescent="0.3">
      <c r="E149" s="662"/>
      <c r="F149" s="662" t="s">
        <v>1203</v>
      </c>
      <c r="I149" s="664" t="s">
        <v>1464</v>
      </c>
      <c r="J149" s="675">
        <f>SUM(J147:J148)</f>
        <v>2832909.6313599995</v>
      </c>
      <c r="L149" s="674">
        <f>J149*0.0003</f>
        <v>849.87288940799976</v>
      </c>
      <c r="M149" s="674">
        <f>J149*0.0145</f>
        <v>41077.189654719994</v>
      </c>
      <c r="O149" s="783"/>
    </row>
    <row r="150" spans="5:15" x14ac:dyDescent="0.3">
      <c r="E150" s="662"/>
      <c r="I150" s="663"/>
    </row>
    <row r="151" spans="5:15" x14ac:dyDescent="0.3">
      <c r="F151" s="681" t="s">
        <v>2134</v>
      </c>
      <c r="J151" s="610">
        <f>K6+J11+J14+J15+J26+J37+K37+J54+J55+J56+J57+J68+J70+J71+J72+J76+J77+J78+J83+J84+J88+J89+J91+J98+J100+J104+J107+J113+J116+J117+J118+J119+J120</f>
        <v>574100.17692000011</v>
      </c>
    </row>
    <row r="152" spans="5:15" ht="19.5" x14ac:dyDescent="0.45">
      <c r="F152" s="681" t="s">
        <v>2135</v>
      </c>
      <c r="J152" s="679">
        <f>J132+J135+J136+J143</f>
        <v>277292</v>
      </c>
    </row>
    <row r="153" spans="5:15" x14ac:dyDescent="0.3">
      <c r="J153" s="608">
        <f>SUM(J151:J152)</f>
        <v>851392.17692000011</v>
      </c>
    </row>
  </sheetData>
  <mergeCells count="1">
    <mergeCell ref="B1:N1"/>
  </mergeCells>
  <pageMargins left="0.75" right="0.75" top="1" bottom="1" header="0.5" footer="0.5"/>
  <pageSetup paperSize="5" scale="78" fitToHeight="5" orientation="landscape" copies="9" r:id="rId1"/>
  <headerFooter alignWithMargins="0">
    <oddHeader>&amp;C&amp;"-,Bold"Proposed Budget &amp; Analysis Report for FY20</oddHeader>
    <oddFooter>&amp;C&amp;D&amp;T</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3:AR375"/>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28.7109375" style="161" customWidth="1"/>
    <col min="4" max="4" width="13.28515625" style="211" hidden="1" customWidth="1"/>
    <col min="5" max="5" width="11.42578125" style="211" hidden="1" customWidth="1"/>
    <col min="6" max="6" width="8.28515625" style="211" hidden="1" customWidth="1"/>
    <col min="7" max="7" width="1.7109375" style="213" hidden="1" customWidth="1"/>
    <col min="8" max="8" width="13.28515625" style="211" hidden="1" customWidth="1"/>
    <col min="9" max="9" width="11.42578125" style="211" hidden="1" customWidth="1"/>
    <col min="10" max="10" width="8.28515625" style="211" hidden="1" customWidth="1"/>
    <col min="11" max="11" width="1.7109375" style="213" hidden="1" customWidth="1"/>
    <col min="12" max="12" width="13.28515625" style="211" hidden="1" customWidth="1"/>
    <col min="13" max="13" width="11.42578125" style="211" hidden="1" customWidth="1"/>
    <col min="14" max="14" width="8.28515625" style="211" hidden="1" customWidth="1"/>
    <col min="15" max="15" width="1.7109375" style="213" hidden="1" customWidth="1"/>
    <col min="16" max="16" width="13.28515625" style="211" hidden="1" customWidth="1"/>
    <col min="17" max="17" width="11.42578125" style="211" hidden="1" customWidth="1"/>
    <col min="18" max="18" width="8.28515625" style="211" hidden="1" customWidth="1"/>
    <col min="19" max="19" width="1.7109375" style="213" hidden="1" customWidth="1"/>
    <col min="20" max="20" width="13.28515625" style="161" hidden="1" customWidth="1"/>
    <col min="21" max="21" width="11.42578125" style="161" hidden="1" customWidth="1"/>
    <col min="22" max="22" width="8.28515625" style="161" hidden="1" customWidth="1"/>
    <col min="23" max="23" width="1.7109375" style="103" hidden="1" customWidth="1"/>
    <col min="24" max="25" width="11.5703125" style="161" hidden="1" customWidth="1"/>
    <col min="26" max="26" width="9.28515625" style="161" hidden="1" customWidth="1"/>
    <col min="27" max="27" width="1.7109375" style="103" hidden="1" customWidth="1"/>
    <col min="28" max="29" width="11.5703125" style="161" customWidth="1"/>
    <col min="30" max="30" width="6.140625" style="161" bestFit="1" customWidth="1"/>
    <col min="31" max="31" width="1.7109375" style="213" customWidth="1"/>
    <col min="32" max="32" width="11.5703125" style="211" hidden="1" customWidth="1"/>
    <col min="33" max="34" width="11.5703125" style="211" customWidth="1"/>
    <col min="35" max="35" width="7.5703125" style="211" bestFit="1" customWidth="1"/>
    <col min="36" max="36" width="1.85546875" style="161" customWidth="1"/>
    <col min="37" max="38" width="11.5703125" style="394" customWidth="1"/>
    <col min="39" max="39" width="9.28515625" style="394" bestFit="1" customWidth="1"/>
    <col min="40" max="40" width="1.7109375" style="397" customWidth="1"/>
    <col min="41" max="41" width="13.5703125" style="104" customWidth="1"/>
    <col min="42" max="42" width="11.5703125" style="104" customWidth="1"/>
    <col min="43" max="43" width="9.28515625" style="161" bestFit="1" customWidth="1"/>
    <col min="44" max="44" width="38.710937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t="s">
        <v>272</v>
      </c>
      <c r="B4" s="271"/>
      <c r="C4" s="308" t="s">
        <v>1881</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80"/>
      <c r="AK6" s="112"/>
      <c r="AL6" s="112"/>
      <c r="AM6" s="396"/>
      <c r="AQ6" s="80"/>
      <c r="AR6" s="1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7"/>
      <c r="AH7" s="225">
        <f>SUM(AH6:AH6)</f>
        <v>0</v>
      </c>
      <c r="AI7" s="226"/>
      <c r="AJ7" s="226"/>
      <c r="AK7" s="225">
        <f>SUM(AK6:AK6)</f>
        <v>0</v>
      </c>
      <c r="AL7" s="225">
        <f>SUM(AL6:AL6)</f>
        <v>0</v>
      </c>
      <c r="AM7" s="226"/>
      <c r="AN7" s="224"/>
      <c r="AO7" s="227"/>
      <c r="AP7" s="225">
        <f>AO7-T7</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80"/>
      <c r="AR9" s="111"/>
    </row>
    <row r="10" spans="1:44" ht="14.25" hidden="1" x14ac:dyDescent="0.3">
      <c r="A10" s="161" t="s">
        <v>713</v>
      </c>
      <c r="B10" s="119" t="str">
        <f t="shared" ref="B10:B18" si="0">MID(A10,14,4)</f>
        <v>5210</v>
      </c>
      <c r="C10" s="161" t="s">
        <v>1626</v>
      </c>
      <c r="D10" s="112">
        <v>1000</v>
      </c>
      <c r="E10" s="112">
        <v>541.16999999999996</v>
      </c>
      <c r="F10" s="216"/>
      <c r="H10" s="112">
        <v>1000</v>
      </c>
      <c r="I10" s="112">
        <v>584.57000000000005</v>
      </c>
      <c r="J10" s="216"/>
      <c r="L10" s="112">
        <v>500</v>
      </c>
      <c r="M10" s="112">
        <v>953.55</v>
      </c>
      <c r="N10" s="216"/>
      <c r="P10" s="112">
        <v>500</v>
      </c>
      <c r="Q10" s="112">
        <v>799.56</v>
      </c>
      <c r="R10" s="216"/>
      <c r="T10" s="112">
        <v>500</v>
      </c>
      <c r="U10" s="112">
        <v>938.39</v>
      </c>
      <c r="V10" s="216"/>
      <c r="W10" s="213"/>
      <c r="X10" s="112">
        <v>500</v>
      </c>
      <c r="Y10" s="112">
        <v>863.46</v>
      </c>
      <c r="Z10" s="216"/>
      <c r="AA10" s="213"/>
      <c r="AB10" s="112">
        <v>500</v>
      </c>
      <c r="AC10" s="112">
        <v>478.21</v>
      </c>
      <c r="AD10" s="216"/>
      <c r="AF10" s="383">
        <v>500</v>
      </c>
      <c r="AG10" s="383">
        <v>500</v>
      </c>
      <c r="AH10" s="112">
        <v>0</v>
      </c>
      <c r="AI10" s="216">
        <f>(AG10-AB10)/AB10</f>
        <v>0</v>
      </c>
      <c r="AJ10" s="80"/>
      <c r="AK10" s="112"/>
      <c r="AL10" s="112"/>
      <c r="AM10" s="396">
        <f>(AK10-AG10)/AG10</f>
        <v>-1</v>
      </c>
      <c r="AO10" s="164"/>
      <c r="AP10" s="104">
        <f>AO10-AG10</f>
        <v>-500</v>
      </c>
      <c r="AQ10" s="396" t="e">
        <f>(AO10-AK10)/AK10</f>
        <v>#DIV/0!</v>
      </c>
      <c r="AR10" s="156" t="s">
        <v>1514</v>
      </c>
    </row>
    <row r="11" spans="1:44" hidden="1" x14ac:dyDescent="0.25">
      <c r="A11" s="161" t="s">
        <v>714</v>
      </c>
      <c r="B11" s="119" t="str">
        <f t="shared" si="0"/>
        <v>5211</v>
      </c>
      <c r="C11" s="161" t="s">
        <v>1628</v>
      </c>
      <c r="D11" s="112">
        <v>0</v>
      </c>
      <c r="E11" s="112">
        <v>420</v>
      </c>
      <c r="F11" s="216"/>
      <c r="H11" s="112">
        <v>0</v>
      </c>
      <c r="I11" s="112">
        <v>0</v>
      </c>
      <c r="J11" s="216"/>
      <c r="L11" s="112">
        <v>500</v>
      </c>
      <c r="M11" s="112">
        <v>0</v>
      </c>
      <c r="N11" s="216"/>
      <c r="P11" s="112">
        <v>500</v>
      </c>
      <c r="Q11" s="112">
        <v>0</v>
      </c>
      <c r="R11" s="216"/>
      <c r="T11" s="112">
        <v>500</v>
      </c>
      <c r="U11" s="112">
        <v>0</v>
      </c>
      <c r="V11" s="216"/>
      <c r="W11" s="213"/>
      <c r="X11" s="112">
        <v>500</v>
      </c>
      <c r="Y11" s="112">
        <v>0</v>
      </c>
      <c r="Z11" s="216"/>
      <c r="AA11" s="213"/>
      <c r="AB11" s="112">
        <v>500</v>
      </c>
      <c r="AC11" s="112">
        <v>0</v>
      </c>
      <c r="AD11" s="216"/>
      <c r="AF11" s="112">
        <v>500</v>
      </c>
      <c r="AG11" s="112">
        <v>500</v>
      </c>
      <c r="AH11" s="112">
        <v>0</v>
      </c>
      <c r="AI11" s="216">
        <f t="shared" ref="AI11:AI20" si="1">(AG11-AB11)/AB11</f>
        <v>0</v>
      </c>
      <c r="AJ11" s="80"/>
      <c r="AK11" s="112"/>
      <c r="AL11" s="112"/>
      <c r="AM11" s="396">
        <f t="shared" ref="AM11:AM20" si="2">(AK11-AG11)/AG11</f>
        <v>-1</v>
      </c>
      <c r="AO11" s="164">
        <v>0</v>
      </c>
      <c r="AP11" s="212">
        <f t="shared" ref="AP11:AP21" si="3">AO11-AG11</f>
        <v>-500</v>
      </c>
      <c r="AQ11" s="396" t="e">
        <f t="shared" ref="AQ11:AQ22" si="4">(AO11-AK11)/AK11</f>
        <v>#DIV/0!</v>
      </c>
      <c r="AR11" s="166"/>
    </row>
    <row r="12" spans="1:44" ht="14.25" x14ac:dyDescent="0.3">
      <c r="A12" s="161" t="s">
        <v>715</v>
      </c>
      <c r="B12" s="119" t="str">
        <f t="shared" si="0"/>
        <v>5236</v>
      </c>
      <c r="C12" s="161" t="s">
        <v>1878</v>
      </c>
      <c r="D12" s="112">
        <v>4000</v>
      </c>
      <c r="E12" s="112">
        <v>2654.45</v>
      </c>
      <c r="F12" s="216"/>
      <c r="H12" s="112">
        <v>4000</v>
      </c>
      <c r="I12" s="112">
        <v>-167.84</v>
      </c>
      <c r="J12" s="216"/>
      <c r="L12" s="112">
        <v>4000</v>
      </c>
      <c r="M12" s="112">
        <v>600</v>
      </c>
      <c r="N12" s="216"/>
      <c r="P12" s="112">
        <v>4000</v>
      </c>
      <c r="Q12" s="112">
        <v>27.4</v>
      </c>
      <c r="R12" s="216"/>
      <c r="T12" s="112">
        <v>4000</v>
      </c>
      <c r="U12" s="112">
        <v>900</v>
      </c>
      <c r="V12" s="216"/>
      <c r="W12" s="213"/>
      <c r="X12" s="112">
        <v>4000</v>
      </c>
      <c r="Y12" s="112">
        <v>2173.85</v>
      </c>
      <c r="Z12" s="216"/>
      <c r="AA12" s="213"/>
      <c r="AB12" s="112">
        <v>4000</v>
      </c>
      <c r="AC12" s="112">
        <v>1044.5</v>
      </c>
      <c r="AD12" s="216"/>
      <c r="AF12" s="112">
        <v>4000</v>
      </c>
      <c r="AG12" s="112">
        <v>4000</v>
      </c>
      <c r="AH12" s="112">
        <v>1262</v>
      </c>
      <c r="AI12" s="216">
        <f t="shared" si="1"/>
        <v>0</v>
      </c>
      <c r="AJ12" s="80"/>
      <c r="AK12" s="291">
        <v>2000</v>
      </c>
      <c r="AL12" s="112">
        <v>1415.25</v>
      </c>
      <c r="AM12" s="396">
        <f t="shared" si="2"/>
        <v>-0.5</v>
      </c>
      <c r="AO12" s="164">
        <v>3000</v>
      </c>
      <c r="AP12" s="212">
        <f t="shared" si="3"/>
        <v>-1000</v>
      </c>
      <c r="AQ12" s="396">
        <f t="shared" si="4"/>
        <v>0.5</v>
      </c>
      <c r="AR12" s="156" t="s">
        <v>1094</v>
      </c>
    </row>
    <row r="13" spans="1:44" s="394" customFormat="1" ht="14.25" x14ac:dyDescent="0.3">
      <c r="A13" s="395" t="s">
        <v>1496</v>
      </c>
      <c r="B13" s="395" t="str">
        <f>MID(A13,14,4)</f>
        <v>5293</v>
      </c>
      <c r="C13" s="394" t="s">
        <v>1497</v>
      </c>
      <c r="D13" s="112">
        <v>0</v>
      </c>
      <c r="E13" s="112">
        <v>0</v>
      </c>
      <c r="F13" s="396"/>
      <c r="G13" s="397"/>
      <c r="H13" s="112">
        <v>0</v>
      </c>
      <c r="I13" s="112">
        <v>0</v>
      </c>
      <c r="J13" s="396"/>
      <c r="K13" s="397"/>
      <c r="L13" s="112">
        <v>0</v>
      </c>
      <c r="M13" s="112">
        <v>0</v>
      </c>
      <c r="N13" s="396"/>
      <c r="O13" s="397"/>
      <c r="P13" s="112">
        <v>0</v>
      </c>
      <c r="Q13" s="112">
        <v>0</v>
      </c>
      <c r="R13" s="396"/>
      <c r="S13" s="397"/>
      <c r="T13" s="112">
        <v>0</v>
      </c>
      <c r="U13" s="112">
        <v>0</v>
      </c>
      <c r="V13" s="396"/>
      <c r="W13" s="397"/>
      <c r="X13" s="112">
        <v>0</v>
      </c>
      <c r="Y13" s="112">
        <v>0</v>
      </c>
      <c r="Z13" s="396"/>
      <c r="AA13" s="397"/>
      <c r="AB13" s="112"/>
      <c r="AC13" s="112"/>
      <c r="AD13" s="396"/>
      <c r="AE13" s="397"/>
      <c r="AF13" s="112"/>
      <c r="AG13" s="112"/>
      <c r="AH13" s="112">
        <v>55.48</v>
      </c>
      <c r="AI13" s="396"/>
      <c r="AJ13" s="396"/>
      <c r="AK13" s="291"/>
      <c r="AL13" s="112">
        <v>31.04</v>
      </c>
      <c r="AM13" s="396" t="e">
        <f t="shared" si="2"/>
        <v>#DIV/0!</v>
      </c>
      <c r="AN13" s="397"/>
      <c r="AO13" s="291"/>
      <c r="AP13" s="399">
        <f>AO13-AG13</f>
        <v>0</v>
      </c>
      <c r="AQ13" s="396"/>
      <c r="AR13" s="156"/>
    </row>
    <row r="14" spans="1:44" s="211" customFormat="1" ht="14.25" x14ac:dyDescent="0.3">
      <c r="A14" s="211" t="s">
        <v>716</v>
      </c>
      <c r="B14" s="214" t="str">
        <f t="shared" si="0"/>
        <v>5294</v>
      </c>
      <c r="C14" s="341" t="s">
        <v>1781</v>
      </c>
      <c r="D14" s="112">
        <v>32000</v>
      </c>
      <c r="E14" s="112">
        <v>24874.55</v>
      </c>
      <c r="F14" s="216"/>
      <c r="G14" s="213"/>
      <c r="H14" s="112">
        <v>32000</v>
      </c>
      <c r="I14" s="112">
        <v>32295.45</v>
      </c>
      <c r="J14" s="216"/>
      <c r="K14" s="213"/>
      <c r="L14" s="112">
        <v>32000</v>
      </c>
      <c r="M14" s="112">
        <v>37605.39</v>
      </c>
      <c r="N14" s="216"/>
      <c r="O14" s="213"/>
      <c r="P14" s="112">
        <v>32000</v>
      </c>
      <c r="Q14" s="112">
        <v>21785.75</v>
      </c>
      <c r="R14" s="216"/>
      <c r="S14" s="213"/>
      <c r="T14" s="112">
        <v>32000</v>
      </c>
      <c r="U14" s="112">
        <v>24148.35</v>
      </c>
      <c r="V14" s="216"/>
      <c r="W14" s="213"/>
      <c r="X14" s="112">
        <v>24000</v>
      </c>
      <c r="Y14" s="112">
        <v>19218.3</v>
      </c>
      <c r="Z14" s="216"/>
      <c r="AA14" s="213"/>
      <c r="AB14" s="431">
        <v>24000</v>
      </c>
      <c r="AC14" s="112">
        <v>18653.89</v>
      </c>
      <c r="AD14" s="216"/>
      <c r="AE14" s="213"/>
      <c r="AF14" s="112">
        <v>24000</v>
      </c>
      <c r="AG14" s="431">
        <v>24000</v>
      </c>
      <c r="AH14" s="112">
        <v>17864.740000000002</v>
      </c>
      <c r="AI14" s="216">
        <f t="shared" si="1"/>
        <v>0</v>
      </c>
      <c r="AJ14" s="216"/>
      <c r="AK14" s="431">
        <v>24300</v>
      </c>
      <c r="AL14" s="112">
        <v>8053.65</v>
      </c>
      <c r="AM14" s="396">
        <f t="shared" si="2"/>
        <v>1.2500000000000001E-2</v>
      </c>
      <c r="AN14" s="397"/>
      <c r="AO14" s="431">
        <v>24300</v>
      </c>
      <c r="AP14" s="212">
        <f t="shared" si="3"/>
        <v>300</v>
      </c>
      <c r="AQ14" s="396">
        <f t="shared" si="4"/>
        <v>0</v>
      </c>
      <c r="AR14" s="156" t="s">
        <v>1526</v>
      </c>
    </row>
    <row r="15" spans="1:44" s="211" customFormat="1" ht="14.25" x14ac:dyDescent="0.3">
      <c r="A15" s="211" t="s">
        <v>717</v>
      </c>
      <c r="B15" s="214" t="str">
        <f t="shared" si="0"/>
        <v>5297</v>
      </c>
      <c r="C15" s="341" t="s">
        <v>1512</v>
      </c>
      <c r="D15" s="112">
        <v>29557</v>
      </c>
      <c r="E15" s="112">
        <v>29527.39</v>
      </c>
      <c r="F15" s="216"/>
      <c r="G15" s="213"/>
      <c r="H15" s="112">
        <v>29807</v>
      </c>
      <c r="I15" s="112">
        <v>29634.880000000001</v>
      </c>
      <c r="J15" s="216"/>
      <c r="K15" s="213"/>
      <c r="L15" s="112">
        <v>30562.29</v>
      </c>
      <c r="M15" s="112">
        <v>22792.63</v>
      </c>
      <c r="N15" s="216"/>
      <c r="O15" s="213"/>
      <c r="P15" s="112">
        <v>30562.29</v>
      </c>
      <c r="Q15" s="112">
        <v>30212.91</v>
      </c>
      <c r="R15" s="216"/>
      <c r="S15" s="213"/>
      <c r="T15" s="112">
        <v>29830.74</v>
      </c>
      <c r="U15" s="112">
        <v>27130.74</v>
      </c>
      <c r="V15" s="216"/>
      <c r="W15" s="213"/>
      <c r="X15" s="112">
        <v>29897.95</v>
      </c>
      <c r="Y15" s="112">
        <v>29897.95</v>
      </c>
      <c r="Z15" s="216"/>
      <c r="AA15" s="213"/>
      <c r="AB15" s="431">
        <v>30172.58</v>
      </c>
      <c r="AC15" s="112">
        <v>30172.58</v>
      </c>
      <c r="AD15" s="216"/>
      <c r="AE15" s="213"/>
      <c r="AF15" s="112">
        <v>30350.240000000002</v>
      </c>
      <c r="AG15" s="431">
        <v>30350.240000000002</v>
      </c>
      <c r="AH15" s="112">
        <v>30350.240000000002</v>
      </c>
      <c r="AI15" s="216">
        <f t="shared" si="1"/>
        <v>5.8881275648287237E-3</v>
      </c>
      <c r="AJ15" s="216"/>
      <c r="AK15" s="431">
        <v>31699.27</v>
      </c>
      <c r="AL15" s="112">
        <v>15849.63</v>
      </c>
      <c r="AM15" s="396">
        <f t="shared" si="2"/>
        <v>4.4448742415216444E-2</v>
      </c>
      <c r="AN15" s="397"/>
      <c r="AO15" s="431">
        <v>32990</v>
      </c>
      <c r="AP15" s="212">
        <f t="shared" si="3"/>
        <v>2639.7599999999984</v>
      </c>
      <c r="AQ15" s="396">
        <f t="shared" si="4"/>
        <v>4.0717972369710705E-2</v>
      </c>
      <c r="AR15" s="156" t="s">
        <v>1525</v>
      </c>
    </row>
    <row r="16" spans="1:44" s="211" customFormat="1" ht="14.25" x14ac:dyDescent="0.3">
      <c r="A16" s="211" t="s">
        <v>1178</v>
      </c>
      <c r="B16" s="214" t="str">
        <f>MID(A16,14,4)</f>
        <v>5298</v>
      </c>
      <c r="C16" s="341" t="s">
        <v>1879</v>
      </c>
      <c r="D16" s="112">
        <v>0</v>
      </c>
      <c r="E16" s="112">
        <v>0</v>
      </c>
      <c r="F16" s="216"/>
      <c r="G16" s="213"/>
      <c r="H16" s="112">
        <v>0</v>
      </c>
      <c r="I16" s="112">
        <v>0</v>
      </c>
      <c r="J16" s="216"/>
      <c r="K16" s="213"/>
      <c r="L16" s="112">
        <v>0</v>
      </c>
      <c r="M16" s="112">
        <v>0</v>
      </c>
      <c r="N16" s="216"/>
      <c r="O16" s="213"/>
      <c r="P16" s="112">
        <v>0</v>
      </c>
      <c r="Q16" s="112">
        <v>0</v>
      </c>
      <c r="R16" s="216"/>
      <c r="S16" s="213"/>
      <c r="T16" s="112">
        <v>0</v>
      </c>
      <c r="U16" s="112">
        <v>2087.4</v>
      </c>
      <c r="V16" s="216"/>
      <c r="W16" s="213"/>
      <c r="X16" s="112">
        <v>8400</v>
      </c>
      <c r="Y16" s="112">
        <v>7283.5</v>
      </c>
      <c r="Z16" s="216"/>
      <c r="AA16" s="213"/>
      <c r="AB16" s="431">
        <v>7700</v>
      </c>
      <c r="AC16" s="112">
        <v>5975.9</v>
      </c>
      <c r="AD16" s="216"/>
      <c r="AE16" s="213"/>
      <c r="AF16" s="112">
        <v>7700</v>
      </c>
      <c r="AG16" s="431">
        <v>7700</v>
      </c>
      <c r="AH16" s="112">
        <v>6539.26</v>
      </c>
      <c r="AI16" s="216">
        <f t="shared" si="1"/>
        <v>0</v>
      </c>
      <c r="AJ16" s="216"/>
      <c r="AK16" s="431">
        <v>7700</v>
      </c>
      <c r="AL16" s="112">
        <v>2978.85</v>
      </c>
      <c r="AM16" s="396">
        <f t="shared" si="2"/>
        <v>0</v>
      </c>
      <c r="AN16" s="397"/>
      <c r="AO16" s="431">
        <v>7700</v>
      </c>
      <c r="AP16" s="212">
        <f t="shared" si="3"/>
        <v>0</v>
      </c>
      <c r="AQ16" s="396">
        <f t="shared" si="4"/>
        <v>0</v>
      </c>
      <c r="AR16" s="156" t="s">
        <v>1097</v>
      </c>
    </row>
    <row r="17" spans="1:44" s="211" customFormat="1" ht="14.25" hidden="1" x14ac:dyDescent="0.3">
      <c r="A17" s="211" t="s">
        <v>718</v>
      </c>
      <c r="B17" s="214" t="str">
        <f t="shared" si="0"/>
        <v>5302</v>
      </c>
      <c r="C17" s="211" t="s">
        <v>1774</v>
      </c>
      <c r="D17" s="112">
        <v>2500</v>
      </c>
      <c r="E17" s="112">
        <v>0</v>
      </c>
      <c r="F17" s="216"/>
      <c r="G17" s="213"/>
      <c r="H17" s="112">
        <v>2500</v>
      </c>
      <c r="I17" s="112">
        <v>0</v>
      </c>
      <c r="J17" s="216"/>
      <c r="K17" s="213"/>
      <c r="L17" s="112">
        <v>2500</v>
      </c>
      <c r="M17" s="112">
        <v>0</v>
      </c>
      <c r="N17" s="216"/>
      <c r="O17" s="213"/>
      <c r="P17" s="112">
        <v>2500</v>
      </c>
      <c r="Q17" s="112">
        <v>0</v>
      </c>
      <c r="R17" s="216"/>
      <c r="S17" s="213"/>
      <c r="T17" s="112">
        <v>0</v>
      </c>
      <c r="U17" s="112">
        <v>0</v>
      </c>
      <c r="V17" s="216"/>
      <c r="W17" s="213"/>
      <c r="X17" s="112">
        <v>0</v>
      </c>
      <c r="Y17" s="112">
        <v>0</v>
      </c>
      <c r="Z17" s="216"/>
      <c r="AA17" s="213"/>
      <c r="AB17" s="112">
        <v>0</v>
      </c>
      <c r="AC17" s="112">
        <v>0</v>
      </c>
      <c r="AD17" s="216"/>
      <c r="AE17" s="213"/>
      <c r="AF17" s="112"/>
      <c r="AG17" s="112"/>
      <c r="AH17" s="112"/>
      <c r="AI17" s="216"/>
      <c r="AJ17" s="216"/>
      <c r="AK17" s="291"/>
      <c r="AL17" s="112"/>
      <c r="AM17" s="396" t="e">
        <f t="shared" si="2"/>
        <v>#DIV/0!</v>
      </c>
      <c r="AN17" s="397"/>
      <c r="AO17" s="291"/>
      <c r="AP17" s="212">
        <f t="shared" si="3"/>
        <v>0</v>
      </c>
      <c r="AQ17" s="396" t="e">
        <f t="shared" si="4"/>
        <v>#DIV/0!</v>
      </c>
      <c r="AR17" s="156"/>
    </row>
    <row r="18" spans="1:44" s="211" customFormat="1" ht="14.25" x14ac:dyDescent="0.3">
      <c r="A18" s="211" t="s">
        <v>719</v>
      </c>
      <c r="B18" s="214" t="str">
        <f t="shared" si="0"/>
        <v>5315</v>
      </c>
      <c r="C18" s="211" t="s">
        <v>1792</v>
      </c>
      <c r="D18" s="112">
        <v>5000</v>
      </c>
      <c r="E18" s="112">
        <v>5010.87</v>
      </c>
      <c r="F18" s="216"/>
      <c r="G18" s="213"/>
      <c r="H18" s="112">
        <v>5000</v>
      </c>
      <c r="I18" s="112">
        <v>4748.37</v>
      </c>
      <c r="J18" s="216"/>
      <c r="K18" s="213"/>
      <c r="L18" s="112">
        <v>5000</v>
      </c>
      <c r="M18" s="112">
        <v>4748.38</v>
      </c>
      <c r="N18" s="216"/>
      <c r="O18" s="213"/>
      <c r="P18" s="112">
        <v>5000</v>
      </c>
      <c r="Q18" s="112">
        <v>5167.91</v>
      </c>
      <c r="R18" s="216"/>
      <c r="S18" s="213"/>
      <c r="T18" s="112">
        <v>0</v>
      </c>
      <c r="U18" s="112">
        <v>5170.41</v>
      </c>
      <c r="V18" s="216"/>
      <c r="W18" s="213"/>
      <c r="X18" s="112">
        <v>0</v>
      </c>
      <c r="Y18" s="112">
        <v>5018.45</v>
      </c>
      <c r="Z18" s="216"/>
      <c r="AA18" s="213"/>
      <c r="AB18" s="112">
        <v>0</v>
      </c>
      <c r="AC18" s="112">
        <v>5413.57</v>
      </c>
      <c r="AD18" s="216"/>
      <c r="AE18" s="213"/>
      <c r="AF18" s="112">
        <v>0</v>
      </c>
      <c r="AG18" s="112">
        <v>0</v>
      </c>
      <c r="AH18" s="112">
        <v>3014.58</v>
      </c>
      <c r="AI18" s="216"/>
      <c r="AJ18" s="216"/>
      <c r="AK18" s="291">
        <v>5400</v>
      </c>
      <c r="AL18" s="112">
        <v>0</v>
      </c>
      <c r="AM18" s="396" t="e">
        <f t="shared" si="2"/>
        <v>#DIV/0!</v>
      </c>
      <c r="AN18" s="397"/>
      <c r="AO18" s="291">
        <v>5400</v>
      </c>
      <c r="AP18" s="212">
        <f t="shared" si="3"/>
        <v>5400</v>
      </c>
      <c r="AQ18" s="396">
        <f t="shared" si="4"/>
        <v>0</v>
      </c>
      <c r="AR18" s="156" t="s">
        <v>1513</v>
      </c>
    </row>
    <row r="19" spans="1:44" s="211" customFormat="1" ht="14.25" x14ac:dyDescent="0.3">
      <c r="A19" s="211" t="s">
        <v>899</v>
      </c>
      <c r="B19" s="214" t="str">
        <f>MID(A19,14,4)</f>
        <v>5341</v>
      </c>
      <c r="C19" s="211" t="s">
        <v>1640</v>
      </c>
      <c r="D19" s="112">
        <v>0</v>
      </c>
      <c r="E19" s="112">
        <v>0</v>
      </c>
      <c r="F19" s="216"/>
      <c r="G19" s="213"/>
      <c r="H19" s="112">
        <v>0</v>
      </c>
      <c r="I19" s="112">
        <v>0</v>
      </c>
      <c r="J19" s="216"/>
      <c r="K19" s="213"/>
      <c r="L19" s="112">
        <v>0</v>
      </c>
      <c r="M19" s="112">
        <v>55.66</v>
      </c>
      <c r="N19" s="216"/>
      <c r="O19" s="213"/>
      <c r="P19" s="112">
        <v>0</v>
      </c>
      <c r="Q19" s="112">
        <v>606.76</v>
      </c>
      <c r="R19" s="216"/>
      <c r="S19" s="213"/>
      <c r="T19" s="112">
        <v>0</v>
      </c>
      <c r="U19" s="112">
        <v>602.46</v>
      </c>
      <c r="V19" s="216"/>
      <c r="W19" s="213"/>
      <c r="X19" s="112">
        <v>0</v>
      </c>
      <c r="Y19" s="112">
        <v>531.02</v>
      </c>
      <c r="Z19" s="216"/>
      <c r="AA19" s="213"/>
      <c r="AB19" s="112">
        <v>0</v>
      </c>
      <c r="AC19" s="112">
        <v>497.01</v>
      </c>
      <c r="AD19" s="216"/>
      <c r="AE19" s="213"/>
      <c r="AF19" s="112"/>
      <c r="AG19" s="112"/>
      <c r="AH19" s="112">
        <v>437.79</v>
      </c>
      <c r="AI19" s="216"/>
      <c r="AJ19" s="216"/>
      <c r="AK19" s="291">
        <v>400</v>
      </c>
      <c r="AL19" s="112">
        <v>198.48</v>
      </c>
      <c r="AM19" s="396" t="e">
        <f t="shared" si="2"/>
        <v>#DIV/0!</v>
      </c>
      <c r="AN19" s="397"/>
      <c r="AO19" s="291">
        <v>400</v>
      </c>
      <c r="AP19" s="212">
        <f t="shared" si="3"/>
        <v>400</v>
      </c>
      <c r="AQ19" s="396">
        <f t="shared" si="4"/>
        <v>0</v>
      </c>
      <c r="AR19" s="156" t="s">
        <v>1515</v>
      </c>
    </row>
    <row r="20" spans="1:44" s="211" customFormat="1" ht="14.25" x14ac:dyDescent="0.3">
      <c r="A20" s="211" t="s">
        <v>720</v>
      </c>
      <c r="B20" s="214" t="str">
        <f>MID(A20,14,4)</f>
        <v>5691</v>
      </c>
      <c r="C20" s="341" t="s">
        <v>1880</v>
      </c>
      <c r="D20" s="112">
        <v>88709</v>
      </c>
      <c r="E20" s="112">
        <v>88709.01</v>
      </c>
      <c r="F20" s="216"/>
      <c r="G20" s="213"/>
      <c r="H20" s="112">
        <v>88709</v>
      </c>
      <c r="I20" s="112">
        <v>88625.18</v>
      </c>
      <c r="J20" s="216"/>
      <c r="K20" s="213"/>
      <c r="L20" s="112">
        <v>88709</v>
      </c>
      <c r="M20" s="112">
        <v>86623.37</v>
      </c>
      <c r="N20" s="216"/>
      <c r="O20" s="213"/>
      <c r="P20" s="112">
        <v>86665.79</v>
      </c>
      <c r="Q20" s="112">
        <v>86665.79</v>
      </c>
      <c r="R20" s="216"/>
      <c r="S20" s="213"/>
      <c r="T20" s="112">
        <v>86600.57</v>
      </c>
      <c r="U20" s="112">
        <v>86600.57</v>
      </c>
      <c r="V20" s="216"/>
      <c r="W20" s="213"/>
      <c r="X20" s="112">
        <v>86346.84</v>
      </c>
      <c r="Y20" s="112">
        <v>86346.84</v>
      </c>
      <c r="Z20" s="216"/>
      <c r="AA20" s="213"/>
      <c r="AB20" s="431">
        <v>89249.09</v>
      </c>
      <c r="AC20" s="112">
        <v>89249.09</v>
      </c>
      <c r="AD20" s="216"/>
      <c r="AE20" s="213"/>
      <c r="AF20" s="112">
        <v>86972.67</v>
      </c>
      <c r="AG20" s="431">
        <v>86972.67</v>
      </c>
      <c r="AH20" s="112">
        <v>86972.67</v>
      </c>
      <c r="AI20" s="216">
        <f t="shared" si="1"/>
        <v>-2.550636650749042E-2</v>
      </c>
      <c r="AJ20" s="216"/>
      <c r="AK20" s="431">
        <v>91948.21</v>
      </c>
      <c r="AL20" s="112">
        <v>45974.11</v>
      </c>
      <c r="AM20" s="396">
        <f t="shared" si="2"/>
        <v>5.720808617235746E-2</v>
      </c>
      <c r="AN20" s="397"/>
      <c r="AO20" s="431">
        <v>94346</v>
      </c>
      <c r="AP20" s="212">
        <f t="shared" si="3"/>
        <v>7373.3300000000017</v>
      </c>
      <c r="AQ20" s="396">
        <f t="shared" si="4"/>
        <v>2.6077614779015202E-2</v>
      </c>
      <c r="AR20" s="156" t="s">
        <v>1097</v>
      </c>
    </row>
    <row r="21" spans="1:44" hidden="1" x14ac:dyDescent="0.25">
      <c r="A21" s="119" t="s">
        <v>988</v>
      </c>
      <c r="B21" s="119">
        <v>5850</v>
      </c>
      <c r="C21" s="161" t="s">
        <v>1674</v>
      </c>
      <c r="D21" s="112">
        <v>0</v>
      </c>
      <c r="E21" s="112">
        <v>0</v>
      </c>
      <c r="F21" s="216"/>
      <c r="H21" s="112">
        <v>0</v>
      </c>
      <c r="I21" s="112">
        <v>0</v>
      </c>
      <c r="J21" s="216"/>
      <c r="L21" s="112">
        <v>0</v>
      </c>
      <c r="M21" s="112">
        <v>0</v>
      </c>
      <c r="N21" s="216"/>
      <c r="P21" s="112">
        <v>0</v>
      </c>
      <c r="Q21" s="112">
        <v>53.48</v>
      </c>
      <c r="R21" s="216"/>
      <c r="T21" s="112">
        <v>0</v>
      </c>
      <c r="U21" s="112">
        <v>0</v>
      </c>
      <c r="V21" s="216"/>
      <c r="W21" s="213"/>
      <c r="X21" s="112">
        <v>0</v>
      </c>
      <c r="Y21" s="112">
        <v>0</v>
      </c>
      <c r="Z21" s="216"/>
      <c r="AA21" s="213"/>
      <c r="AB21" s="112">
        <v>0</v>
      </c>
      <c r="AC21" s="112">
        <v>0</v>
      </c>
      <c r="AD21" s="216"/>
      <c r="AF21" s="112" t="e">
        <f ca="1">_xll.GL($A21,DATA!$M$5,DATA!$A$1,DATA!$M$6,DATA!$M$7)</f>
        <v>#NAME?</v>
      </c>
      <c r="AG21" s="112">
        <v>0</v>
      </c>
      <c r="AH21" s="112"/>
      <c r="AI21" s="216"/>
      <c r="AJ21" s="80"/>
      <c r="AK21" s="112">
        <v>0</v>
      </c>
      <c r="AL21" s="112">
        <v>0</v>
      </c>
      <c r="AM21" s="396"/>
      <c r="AO21" s="164"/>
      <c r="AP21" s="212">
        <f t="shared" si="3"/>
        <v>0</v>
      </c>
      <c r="AQ21" s="396"/>
      <c r="AR21" s="166"/>
    </row>
    <row r="22" spans="1:44" s="114" customFormat="1" x14ac:dyDescent="0.25">
      <c r="A22" s="219"/>
      <c r="B22" s="219"/>
      <c r="C22" s="219" t="s">
        <v>279</v>
      </c>
      <c r="D22" s="220">
        <f>SUM(D10:D21)</f>
        <v>162766</v>
      </c>
      <c r="E22" s="220">
        <f>SUM(E10:E21)</f>
        <v>151737.44</v>
      </c>
      <c r="F22" s="221">
        <v>4.5599999999999998E-3</v>
      </c>
      <c r="G22" s="219"/>
      <c r="H22" s="220">
        <f>SUM(H10:H21)</f>
        <v>163016</v>
      </c>
      <c r="I22" s="220">
        <f>SUM(I10:I21)</f>
        <v>155720.60999999999</v>
      </c>
      <c r="J22" s="221">
        <v>4.5599999999999998E-3</v>
      </c>
      <c r="K22" s="219"/>
      <c r="L22" s="220">
        <f>SUM(L10:L21)</f>
        <v>163771.29</v>
      </c>
      <c r="M22" s="220">
        <f>SUM(M10:M21)</f>
        <v>153378.98000000001</v>
      </c>
      <c r="N22" s="221">
        <v>4.5599999999999998E-3</v>
      </c>
      <c r="O22" s="219"/>
      <c r="P22" s="220">
        <f>SUM(P10:P21)</f>
        <v>161728.08000000002</v>
      </c>
      <c r="Q22" s="220">
        <f>SUM(Q10:Q21)</f>
        <v>145319.56</v>
      </c>
      <c r="R22" s="221">
        <v>4.5599999999999998E-3</v>
      </c>
      <c r="S22" s="219"/>
      <c r="T22" s="220">
        <f>SUM(T10:T21)</f>
        <v>153431.31</v>
      </c>
      <c r="U22" s="220">
        <f>SUM(U10:U21)</f>
        <v>147578.32</v>
      </c>
      <c r="V22" s="221">
        <v>4.5599999999999998E-3</v>
      </c>
      <c r="W22" s="219"/>
      <c r="X22" s="220">
        <f>SUM(X10:X21)</f>
        <v>153644.78999999998</v>
      </c>
      <c r="Y22" s="220">
        <f>SUM(Y10:Y21)</f>
        <v>151333.37</v>
      </c>
      <c r="Z22" s="222">
        <f>(X22-T22)/T22</f>
        <v>1.3913718132236594E-3</v>
      </c>
      <c r="AA22" s="219"/>
      <c r="AB22" s="220">
        <f>SUM(AB10:AB21)</f>
        <v>156121.66999999998</v>
      </c>
      <c r="AC22" s="220">
        <f>SUM(AC10:AC21)</f>
        <v>151484.75</v>
      </c>
      <c r="AD22" s="221">
        <f>(AB22-X22)/X22</f>
        <v>1.6120819977039281E-2</v>
      </c>
      <c r="AE22" s="219"/>
      <c r="AF22" s="220" t="e">
        <f ca="1">SUM(AF10:AF21)</f>
        <v>#NAME?</v>
      </c>
      <c r="AG22" s="220">
        <f>SUM(AG10:AG21)</f>
        <v>154022.91</v>
      </c>
      <c r="AH22" s="220">
        <f>SUM(AH10:AH21)</f>
        <v>146496.76</v>
      </c>
      <c r="AI22" s="221">
        <f>(AG22-AB22)/AB22</f>
        <v>-1.3443104983440033E-2</v>
      </c>
      <c r="AJ22" s="221"/>
      <c r="AK22" s="401">
        <f>SUM(AK10:AK21)</f>
        <v>163447.48000000001</v>
      </c>
      <c r="AL22" s="401">
        <f>SUM(AL10:AL21)</f>
        <v>74501.009999999995</v>
      </c>
      <c r="AM22" s="221">
        <f>(AK22-AG22)/AG22</f>
        <v>6.1189403576390078E-2</v>
      </c>
      <c r="AN22" s="219"/>
      <c r="AO22" s="223">
        <f>SUM(AO10:AO21)</f>
        <v>168136</v>
      </c>
      <c r="AP22" s="223">
        <f>SUM(AP10:AP21)</f>
        <v>14113.09</v>
      </c>
      <c r="AQ22" s="221">
        <f t="shared" si="4"/>
        <v>2.8685177648502071E-2</v>
      </c>
      <c r="AR22" s="219"/>
    </row>
    <row r="23" spans="1:44" s="211" customFormat="1" x14ac:dyDescent="0.25">
      <c r="D23" s="112"/>
      <c r="E23" s="112"/>
      <c r="F23" s="216"/>
      <c r="G23" s="213"/>
      <c r="H23" s="112"/>
      <c r="I23" s="112"/>
      <c r="J23" s="216"/>
      <c r="K23" s="213"/>
      <c r="L23" s="112"/>
      <c r="M23" s="112"/>
      <c r="N23" s="216"/>
      <c r="O23" s="213"/>
      <c r="P23" s="112"/>
      <c r="Q23" s="112"/>
      <c r="R23" s="216"/>
      <c r="S23" s="213"/>
      <c r="T23" s="112"/>
      <c r="U23" s="112"/>
      <c r="V23" s="216"/>
      <c r="W23" s="213"/>
      <c r="X23" s="112"/>
      <c r="Y23" s="112"/>
      <c r="Z23" s="216"/>
      <c r="AA23" s="213"/>
      <c r="AB23" s="112"/>
      <c r="AC23" s="112"/>
      <c r="AD23" s="216"/>
      <c r="AE23" s="213"/>
      <c r="AF23" s="112"/>
      <c r="AG23" s="112"/>
      <c r="AH23" s="112"/>
      <c r="AI23" s="216"/>
      <c r="AJ23" s="216"/>
      <c r="AK23" s="112"/>
      <c r="AL23" s="112"/>
      <c r="AM23" s="396"/>
      <c r="AN23" s="397"/>
      <c r="AO23" s="212"/>
      <c r="AP23" s="212"/>
      <c r="AQ23" s="396"/>
    </row>
    <row r="24" spans="1:44" s="114" customFormat="1" ht="12.75" x14ac:dyDescent="0.2">
      <c r="A24" s="228"/>
      <c r="B24" s="228"/>
      <c r="C24" s="233" t="s">
        <v>280</v>
      </c>
      <c r="D24" s="230">
        <f>D7+D22</f>
        <v>162766</v>
      </c>
      <c r="E24" s="230">
        <f>E7+E22</f>
        <v>151737.44</v>
      </c>
      <c r="F24" s="231">
        <v>4.5999999999999999E-3</v>
      </c>
      <c r="G24" s="228"/>
      <c r="H24" s="230">
        <f>H7+H22</f>
        <v>163016</v>
      </c>
      <c r="I24" s="230">
        <f>I7+I22</f>
        <v>155720.60999999999</v>
      </c>
      <c r="J24" s="231">
        <v>4.5999999999999999E-3</v>
      </c>
      <c r="K24" s="228"/>
      <c r="L24" s="230">
        <f>L7+L22</f>
        <v>163771.29</v>
      </c>
      <c r="M24" s="230">
        <f>M7+M22</f>
        <v>153378.98000000001</v>
      </c>
      <c r="N24" s="231">
        <v>4.5999999999999999E-3</v>
      </c>
      <c r="O24" s="228"/>
      <c r="P24" s="230">
        <f>P7+P22</f>
        <v>161728.08000000002</v>
      </c>
      <c r="Q24" s="230">
        <f>Q7+Q22</f>
        <v>145319.56</v>
      </c>
      <c r="R24" s="231">
        <v>4.5999999999999999E-3</v>
      </c>
      <c r="S24" s="228"/>
      <c r="T24" s="230">
        <f>T7+T22</f>
        <v>153431.31</v>
      </c>
      <c r="U24" s="230">
        <f>U7+U22</f>
        <v>147578.32</v>
      </c>
      <c r="V24" s="231">
        <v>4.5999999999999999E-3</v>
      </c>
      <c r="W24" s="228"/>
      <c r="X24" s="230">
        <f>X7+X22</f>
        <v>153644.78999999998</v>
      </c>
      <c r="Y24" s="230">
        <f>Y7+Y22</f>
        <v>151333.37</v>
      </c>
      <c r="Z24" s="231">
        <f>(X24-T24)/T24</f>
        <v>1.3913718132236594E-3</v>
      </c>
      <c r="AA24" s="228"/>
      <c r="AB24" s="230">
        <f>AB7+AB22</f>
        <v>156121.66999999998</v>
      </c>
      <c r="AC24" s="230">
        <f>AC7+AC22</f>
        <v>151484.75</v>
      </c>
      <c r="AD24" s="231">
        <f>(AB24-X24)/X24</f>
        <v>1.6120819977039281E-2</v>
      </c>
      <c r="AE24" s="228"/>
      <c r="AF24" s="230" t="e">
        <f ca="1">AF7+AF22</f>
        <v>#NAME?</v>
      </c>
      <c r="AG24" s="230">
        <f>AG7+AG22</f>
        <v>154022.91</v>
      </c>
      <c r="AH24" s="230">
        <f>AH7+AH22</f>
        <v>146496.76</v>
      </c>
      <c r="AI24" s="231">
        <f>(AG24-AB24)/AB24</f>
        <v>-1.3443104983440033E-2</v>
      </c>
      <c r="AJ24" s="231"/>
      <c r="AK24" s="402">
        <f>AK7+AK22</f>
        <v>163447.48000000001</v>
      </c>
      <c r="AL24" s="402">
        <f>AL7+AL22</f>
        <v>74501.009999999995</v>
      </c>
      <c r="AM24" s="231">
        <f>(AK24-AG24)/AG24</f>
        <v>6.1189403576390078E-2</v>
      </c>
      <c r="AN24" s="228"/>
      <c r="AO24" s="230">
        <f>AO7+AO22</f>
        <v>168136</v>
      </c>
      <c r="AP24" s="230">
        <f>AP7+AP22</f>
        <v>14113.09</v>
      </c>
      <c r="AQ24" s="231">
        <f>(AO24-AK24)/AK24</f>
        <v>2.8685177648502071E-2</v>
      </c>
      <c r="AR24" s="233"/>
    </row>
    <row r="25" spans="1:44" x14ac:dyDescent="0.25">
      <c r="D25" s="120"/>
      <c r="H25" s="120"/>
      <c r="L25" s="120"/>
      <c r="P25" s="120"/>
      <c r="T25" s="120"/>
      <c r="X25" s="120"/>
      <c r="AB25" s="120"/>
      <c r="AF25" s="120"/>
      <c r="AG25" s="120"/>
      <c r="AK25" s="403"/>
    </row>
    <row r="26" spans="1:44" s="111" customFormat="1" thickBot="1" x14ac:dyDescent="0.25">
      <c r="C26" s="111" t="s">
        <v>281</v>
      </c>
      <c r="D26" s="122"/>
      <c r="E26" s="121">
        <f>D24-E24</f>
        <v>11028.559999999998</v>
      </c>
      <c r="G26" s="118"/>
      <c r="H26" s="122"/>
      <c r="I26" s="121">
        <f>H24-I24</f>
        <v>7295.390000000014</v>
      </c>
      <c r="K26" s="118"/>
      <c r="L26" s="122"/>
      <c r="M26" s="121">
        <f>L24-M24</f>
        <v>10392.309999999998</v>
      </c>
      <c r="O26" s="118"/>
      <c r="P26" s="122"/>
      <c r="Q26" s="121">
        <f>P24-Q24</f>
        <v>16408.520000000019</v>
      </c>
      <c r="S26" s="118"/>
      <c r="T26" s="122"/>
      <c r="U26" s="121">
        <f>T24-U24</f>
        <v>5852.9899999999907</v>
      </c>
      <c r="W26" s="118"/>
      <c r="X26" s="122"/>
      <c r="Y26" s="121">
        <f>X24-Y24</f>
        <v>2311.4199999999837</v>
      </c>
      <c r="AA26" s="118"/>
      <c r="AB26" s="122"/>
      <c r="AC26" s="121">
        <f>AB24-AC24</f>
        <v>4636.9199999999837</v>
      </c>
      <c r="AE26" s="118"/>
      <c r="AF26" s="122"/>
      <c r="AG26" s="122"/>
      <c r="AH26" s="121">
        <f>AG24-AH24</f>
        <v>7526.1499999999942</v>
      </c>
      <c r="AK26" s="122"/>
      <c r="AL26" s="121">
        <f>AK24-AL24</f>
        <v>88946.470000000016</v>
      </c>
      <c r="AN26" s="118"/>
      <c r="AO26" s="123"/>
      <c r="AP26" s="123"/>
    </row>
    <row r="27" spans="1:44" ht="14.25" thickTop="1" x14ac:dyDescent="0.25">
      <c r="D27" s="120"/>
      <c r="F27" s="216"/>
      <c r="H27" s="120"/>
      <c r="J27" s="216"/>
      <c r="L27" s="120"/>
      <c r="N27" s="216"/>
      <c r="P27" s="120"/>
      <c r="R27" s="216"/>
      <c r="T27" s="120"/>
      <c r="V27" s="80"/>
      <c r="X27" s="120"/>
      <c r="AB27" s="120"/>
      <c r="AF27" s="120"/>
      <c r="AG27" s="120"/>
      <c r="AK27" s="403"/>
    </row>
    <row r="28" spans="1:44" x14ac:dyDescent="0.25">
      <c r="C28" s="432" t="s">
        <v>1971</v>
      </c>
      <c r="D28" s="120"/>
      <c r="F28" s="216"/>
      <c r="H28" s="120"/>
      <c r="J28" s="216"/>
      <c r="L28" s="120"/>
      <c r="N28" s="216"/>
      <c r="P28" s="120"/>
      <c r="R28" s="216"/>
      <c r="T28" s="120"/>
      <c r="V28" s="80"/>
      <c r="X28" s="120"/>
      <c r="AB28" s="339">
        <f>AB15+AB16+AB20+AB14</f>
        <v>151121.66999999998</v>
      </c>
      <c r="AF28" s="120"/>
      <c r="AG28" s="339">
        <f>AG15+AG16+AG20+AG14</f>
        <v>149022.91</v>
      </c>
      <c r="AK28" s="339">
        <f>AK15+AK16+AK20+AK14</f>
        <v>155647.48000000001</v>
      </c>
      <c r="AO28" s="339">
        <f>AO15+AO16+AO20+AO14</f>
        <v>159336</v>
      </c>
    </row>
    <row r="29" spans="1:44" x14ac:dyDescent="0.25">
      <c r="D29" s="120"/>
      <c r="F29" s="216"/>
      <c r="H29" s="120"/>
      <c r="J29" s="216"/>
      <c r="L29" s="120"/>
      <c r="N29" s="216"/>
      <c r="P29" s="120"/>
      <c r="R29" s="216"/>
      <c r="T29" s="120"/>
      <c r="V29" s="80"/>
      <c r="X29" s="120"/>
      <c r="AB29" s="120"/>
      <c r="AF29" s="120"/>
      <c r="AG29" s="120"/>
      <c r="AK29" s="403"/>
    </row>
    <row r="30" spans="1:44" x14ac:dyDescent="0.25">
      <c r="D30" s="120"/>
      <c r="F30" s="216"/>
      <c r="H30" s="120"/>
      <c r="J30" s="216"/>
      <c r="L30" s="120"/>
      <c r="N30" s="216"/>
      <c r="P30" s="120"/>
      <c r="R30" s="216"/>
      <c r="T30" s="120"/>
      <c r="V30" s="80"/>
      <c r="X30" s="120"/>
      <c r="AB30" s="120"/>
      <c r="AF30" s="120"/>
      <c r="AG30" s="120"/>
      <c r="AK30" s="403"/>
    </row>
    <row r="31" spans="1:44" x14ac:dyDescent="0.25">
      <c r="D31" s="120"/>
      <c r="F31" s="216"/>
      <c r="H31" s="120"/>
      <c r="J31" s="216"/>
      <c r="L31" s="120"/>
      <c r="N31" s="216"/>
      <c r="P31" s="120"/>
      <c r="R31" s="216"/>
      <c r="T31" s="120"/>
      <c r="V31" s="80"/>
      <c r="X31" s="120"/>
      <c r="AB31" s="120"/>
      <c r="AF31" s="120"/>
      <c r="AG31" s="120"/>
      <c r="AK31" s="403"/>
    </row>
    <row r="32" spans="1:44" x14ac:dyDescent="0.25">
      <c r="D32" s="120"/>
      <c r="F32" s="216"/>
      <c r="H32" s="120"/>
      <c r="J32" s="216"/>
      <c r="L32" s="120"/>
      <c r="N32" s="216"/>
      <c r="P32" s="120"/>
      <c r="R32" s="216"/>
      <c r="T32" s="120"/>
      <c r="V32" s="80"/>
      <c r="X32" s="120"/>
      <c r="AB32" s="120"/>
      <c r="AF32" s="120"/>
      <c r="AG32" s="120"/>
      <c r="AK32" s="403"/>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7" orientation="landscape" copies="15" r:id="rId1"/>
  <headerFooter alignWithMargins="0">
    <oddHeader>&amp;C&amp;"-,Bold"Proposed Budget &amp; Analysis Report for FY20</oddHeader>
    <oddFooter>&amp;C&amp;D&amp;T&amp;R&amp;A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3:AR383"/>
  <sheetViews>
    <sheetView topLeftCell="B1"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40.85546875" style="161" customWidth="1"/>
    <col min="4" max="4" width="13.28515625" style="211" hidden="1" customWidth="1"/>
    <col min="5" max="5" width="11.42578125" style="211" hidden="1" customWidth="1"/>
    <col min="6" max="6" width="9.28515625" style="211" hidden="1" customWidth="1"/>
    <col min="7" max="7" width="2.42578125" style="211" hidden="1" customWidth="1"/>
    <col min="8" max="8" width="13.28515625" style="211" hidden="1" customWidth="1"/>
    <col min="9" max="9" width="11.42578125" style="211" hidden="1" customWidth="1"/>
    <col min="10" max="10" width="9.28515625" style="211" hidden="1" customWidth="1"/>
    <col min="11" max="11" width="2.42578125" style="211" hidden="1" customWidth="1"/>
    <col min="12" max="12" width="13.28515625" style="211" hidden="1" customWidth="1"/>
    <col min="13" max="13" width="11.42578125" style="211" hidden="1" customWidth="1"/>
    <col min="14" max="14" width="9.28515625" style="211" hidden="1" customWidth="1"/>
    <col min="15" max="15" width="2.42578125" style="211" hidden="1" customWidth="1"/>
    <col min="16" max="16" width="13.28515625" style="211" hidden="1" customWidth="1"/>
    <col min="17" max="17" width="11.42578125" style="211" hidden="1" customWidth="1"/>
    <col min="18" max="18" width="9.28515625" style="211" hidden="1" customWidth="1"/>
    <col min="19" max="19" width="2.42578125" style="211" hidden="1" customWidth="1"/>
    <col min="20" max="20" width="13.28515625" style="161" hidden="1" customWidth="1"/>
    <col min="21" max="21" width="11.42578125" style="161" hidden="1" customWidth="1"/>
    <col min="22" max="22" width="9.28515625" style="161" hidden="1" customWidth="1"/>
    <col min="23" max="23" width="2.42578125" style="161" hidden="1" customWidth="1"/>
    <col min="24" max="25" width="11.5703125" style="161" hidden="1" customWidth="1"/>
    <col min="26" max="26" width="9.28515625" style="161" hidden="1" customWidth="1"/>
    <col min="27" max="27" width="2.42578125" style="161" hidden="1" customWidth="1"/>
    <col min="28" max="29" width="11.5703125" style="161" customWidth="1"/>
    <col min="30" max="30" width="9.28515625" style="161" bestFit="1" customWidth="1"/>
    <col min="31" max="31" width="2.42578125" style="211"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2.42578125" style="394" customWidth="1"/>
    <col min="41" max="41" width="13.5703125" style="104" customWidth="1"/>
    <col min="42" max="42" width="11.7109375" style="104" customWidth="1"/>
    <col min="43" max="43" width="10.5703125" style="161" bestFit="1" customWidth="1"/>
    <col min="44" max="44" width="35" style="161" customWidth="1"/>
    <col min="45" max="16384" width="9.140625" style="213"/>
  </cols>
  <sheetData>
    <row r="3" spans="1:44" s="118" customFormat="1" ht="12.75" x14ac:dyDescent="0.2">
      <c r="A3" s="111"/>
      <c r="B3" s="111"/>
      <c r="C3" s="111"/>
      <c r="D3" s="807" t="s">
        <v>1366</v>
      </c>
      <c r="E3" s="808"/>
      <c r="F3" s="809"/>
      <c r="G3" s="111"/>
      <c r="H3" s="807" t="s">
        <v>1365</v>
      </c>
      <c r="I3" s="808"/>
      <c r="J3" s="809"/>
      <c r="K3" s="111"/>
      <c r="L3" s="807" t="s">
        <v>1364</v>
      </c>
      <c r="M3" s="808"/>
      <c r="N3" s="809"/>
      <c r="O3" s="111"/>
      <c r="P3" s="807" t="s">
        <v>110</v>
      </c>
      <c r="Q3" s="808"/>
      <c r="R3" s="809"/>
      <c r="S3" s="111"/>
      <c r="T3" s="807" t="s">
        <v>271</v>
      </c>
      <c r="U3" s="808"/>
      <c r="V3" s="809"/>
      <c r="W3" s="111"/>
      <c r="X3" s="807" t="s">
        <v>980</v>
      </c>
      <c r="Y3" s="808"/>
      <c r="Z3" s="809"/>
      <c r="AA3" s="111"/>
      <c r="AB3" s="807" t="s">
        <v>1124</v>
      </c>
      <c r="AC3" s="808"/>
      <c r="AD3" s="809"/>
      <c r="AE3" s="111"/>
      <c r="AF3" s="807" t="s">
        <v>1363</v>
      </c>
      <c r="AG3" s="808"/>
      <c r="AH3" s="808"/>
      <c r="AI3" s="809"/>
      <c r="AJ3" s="201"/>
      <c r="AK3" s="807" t="s">
        <v>1592</v>
      </c>
      <c r="AL3" s="808"/>
      <c r="AM3" s="809"/>
      <c r="AN3" s="111"/>
      <c r="AO3" s="805" t="s">
        <v>1593</v>
      </c>
      <c r="AP3" s="805"/>
      <c r="AQ3" s="805"/>
      <c r="AR3" s="805"/>
    </row>
    <row r="4" spans="1:44" ht="27" x14ac:dyDescent="0.25">
      <c r="A4" s="271" t="s">
        <v>272</v>
      </c>
      <c r="B4" s="271"/>
      <c r="C4" s="308" t="s">
        <v>1973</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C5" s="111" t="s">
        <v>276</v>
      </c>
      <c r="AO5" s="103"/>
      <c r="AP5" s="103"/>
      <c r="AR5" s="111"/>
    </row>
    <row r="6" spans="1:44" x14ac:dyDescent="0.25">
      <c r="A6" s="161" t="s">
        <v>722</v>
      </c>
      <c r="B6" s="161" t="str">
        <f>MID(A6,14,4)</f>
        <v>5136</v>
      </c>
      <c r="C6" s="161" t="s">
        <v>1751</v>
      </c>
      <c r="D6" s="245">
        <v>5791.59</v>
      </c>
      <c r="E6" s="245">
        <v>5598.48</v>
      </c>
      <c r="F6" s="216"/>
      <c r="G6" s="213"/>
      <c r="H6" s="245">
        <v>5943</v>
      </c>
      <c r="I6" s="245">
        <v>5943</v>
      </c>
      <c r="J6" s="216"/>
      <c r="K6" s="213"/>
      <c r="L6" s="245">
        <v>6334.47</v>
      </c>
      <c r="M6" s="245">
        <v>5806.57</v>
      </c>
      <c r="N6" s="216"/>
      <c r="O6" s="213"/>
      <c r="P6" s="245">
        <v>6269.22</v>
      </c>
      <c r="Q6" s="245">
        <v>6715.56</v>
      </c>
      <c r="R6" s="216"/>
      <c r="S6" s="213"/>
      <c r="T6" s="162">
        <v>6363.18</v>
      </c>
      <c r="U6" s="162">
        <v>7052.27</v>
      </c>
      <c r="V6" s="80"/>
      <c r="W6" s="103"/>
      <c r="X6" s="162">
        <v>6668.72</v>
      </c>
      <c r="Y6" s="162">
        <v>7399.32</v>
      </c>
      <c r="Z6" s="80">
        <v>4.801687206711109E-2</v>
      </c>
      <c r="AA6" s="103"/>
      <c r="AB6" s="162">
        <v>7733.43</v>
      </c>
      <c r="AC6" s="162">
        <v>6083.69</v>
      </c>
      <c r="AD6" s="80">
        <v>0.15965732554373252</v>
      </c>
      <c r="AE6" s="213"/>
      <c r="AF6" s="212">
        <v>8075.34</v>
      </c>
      <c r="AG6" s="380">
        <v>6765.12</v>
      </c>
      <c r="AH6" s="245">
        <v>6765.12</v>
      </c>
      <c r="AI6" s="216">
        <f>(AG6-AB6)/AB6</f>
        <v>-0.12521093486331425</v>
      </c>
      <c r="AJ6" s="80"/>
      <c r="AK6" s="398">
        <v>7135.7430000000004</v>
      </c>
      <c r="AL6" s="398">
        <v>3567.89</v>
      </c>
      <c r="AM6" s="396">
        <f>(AK6-AG6)/AG6</f>
        <v>5.4784394068397975E-2</v>
      </c>
      <c r="AN6" s="397"/>
      <c r="AO6" s="408">
        <f>'FY20 Payroll Schedule'!J102</f>
        <v>7548.1200000000008</v>
      </c>
      <c r="AP6" s="104">
        <f>AO6-AK6</f>
        <v>412.37700000000041</v>
      </c>
      <c r="AQ6" s="396">
        <f>(AO6-AK6)/AK6</f>
        <v>5.7790338020862073E-2</v>
      </c>
      <c r="AR6" s="400" t="s">
        <v>1756</v>
      </c>
    </row>
    <row r="7" spans="1:44" x14ac:dyDescent="0.25">
      <c r="A7" s="211" t="s">
        <v>1278</v>
      </c>
      <c r="B7" s="211" t="str">
        <f>MID(A7,14,4)</f>
        <v>5108</v>
      </c>
      <c r="C7" s="211" t="s">
        <v>1290</v>
      </c>
      <c r="D7" s="245">
        <v>0</v>
      </c>
      <c r="E7" s="245">
        <v>0</v>
      </c>
      <c r="F7" s="216"/>
      <c r="G7" s="213"/>
      <c r="H7" s="245">
        <v>0</v>
      </c>
      <c r="I7" s="245">
        <v>0</v>
      </c>
      <c r="J7" s="216"/>
      <c r="K7" s="213"/>
      <c r="L7" s="245">
        <v>0</v>
      </c>
      <c r="M7" s="245">
        <v>0</v>
      </c>
      <c r="N7" s="216"/>
      <c r="O7" s="213"/>
      <c r="P7" s="245">
        <v>0</v>
      </c>
      <c r="Q7" s="245">
        <v>0</v>
      </c>
      <c r="R7" s="216"/>
      <c r="S7" s="213"/>
      <c r="T7" s="245">
        <v>0</v>
      </c>
      <c r="U7" s="245">
        <v>0</v>
      </c>
      <c r="V7" s="216"/>
      <c r="W7" s="213"/>
      <c r="X7" s="245">
        <v>0</v>
      </c>
      <c r="Y7" s="245">
        <v>0</v>
      </c>
      <c r="Z7" s="216" t="e">
        <v>#DIV/0!</v>
      </c>
      <c r="AA7" s="213"/>
      <c r="AB7" s="245">
        <v>0</v>
      </c>
      <c r="AC7" s="245">
        <v>0</v>
      </c>
      <c r="AD7" s="216" t="e">
        <v>#DIV/0!</v>
      </c>
      <c r="AE7" s="213"/>
      <c r="AF7" s="212">
        <v>4043.25</v>
      </c>
      <c r="AG7" s="380">
        <v>4401.5</v>
      </c>
      <c r="AH7" s="245">
        <v>4401.5</v>
      </c>
      <c r="AI7" s="450" t="e">
        <f>(AG7-AB7)/AB7</f>
        <v>#DIV/0!</v>
      </c>
      <c r="AJ7" s="216"/>
      <c r="AK7" s="398">
        <v>4641.62</v>
      </c>
      <c r="AL7" s="398">
        <v>2223</v>
      </c>
      <c r="AM7" s="396">
        <f>(AK7-AG7)/AG7</f>
        <v>5.4554129274111074E-2</v>
      </c>
      <c r="AN7" s="397"/>
      <c r="AO7" s="163">
        <f>'FY20 Payroll Schedule'!J103</f>
        <v>4909.9320000000007</v>
      </c>
      <c r="AP7" s="399">
        <f>AO7-AK7</f>
        <v>268.31200000000081</v>
      </c>
      <c r="AQ7" s="396">
        <f>(AO7-AK7)/AK7</f>
        <v>5.7805679913478659E-2</v>
      </c>
      <c r="AR7" s="400" t="s">
        <v>1755</v>
      </c>
    </row>
    <row r="8" spans="1:44" s="397" customFormat="1" x14ac:dyDescent="0.25">
      <c r="A8" s="395" t="s">
        <v>1972</v>
      </c>
      <c r="B8" s="394" t="str">
        <f>MID(A8,14,4)</f>
        <v>5142</v>
      </c>
      <c r="C8" s="394" t="s">
        <v>1455</v>
      </c>
      <c r="D8" s="398"/>
      <c r="E8" s="398"/>
      <c r="F8" s="396"/>
      <c r="H8" s="398"/>
      <c r="I8" s="398"/>
      <c r="J8" s="396"/>
      <c r="L8" s="398"/>
      <c r="M8" s="398"/>
      <c r="N8" s="396"/>
      <c r="P8" s="398"/>
      <c r="Q8" s="398"/>
      <c r="R8" s="396"/>
      <c r="T8" s="398"/>
      <c r="U8" s="398"/>
      <c r="V8" s="396"/>
      <c r="X8" s="398"/>
      <c r="Y8" s="398"/>
      <c r="Z8" s="396"/>
      <c r="AB8" s="398"/>
      <c r="AC8" s="398"/>
      <c r="AD8" s="396"/>
      <c r="AF8" s="399"/>
      <c r="AG8" s="380"/>
      <c r="AH8" s="398">
        <v>0</v>
      </c>
      <c r="AI8" s="396"/>
      <c r="AJ8" s="396"/>
      <c r="AK8" s="398"/>
      <c r="AL8" s="398"/>
      <c r="AM8" s="396"/>
      <c r="AO8" s="163">
        <f>'FY20 Payroll Schedule'!K103</f>
        <v>49.099320000000006</v>
      </c>
      <c r="AP8" s="399">
        <f>AO8-AK8</f>
        <v>49.099320000000006</v>
      </c>
      <c r="AQ8" s="396"/>
      <c r="AR8" s="400"/>
    </row>
    <row r="9" spans="1:44" x14ac:dyDescent="0.25">
      <c r="A9" s="161" t="s">
        <v>723</v>
      </c>
      <c r="B9" s="211" t="str">
        <f>MID(A9,14,4)</f>
        <v>5120</v>
      </c>
      <c r="C9" s="161" t="s">
        <v>1752</v>
      </c>
      <c r="D9" s="245">
        <v>0</v>
      </c>
      <c r="E9" s="245">
        <v>0</v>
      </c>
      <c r="F9" s="216"/>
      <c r="G9" s="213"/>
      <c r="H9" s="245">
        <v>250</v>
      </c>
      <c r="I9" s="245">
        <v>0</v>
      </c>
      <c r="J9" s="216"/>
      <c r="K9" s="213"/>
      <c r="L9" s="245">
        <v>250</v>
      </c>
      <c r="M9" s="245">
        <v>226.4</v>
      </c>
      <c r="N9" s="216"/>
      <c r="O9" s="213"/>
      <c r="P9" s="245">
        <v>250</v>
      </c>
      <c r="Q9" s="245">
        <v>0</v>
      </c>
      <c r="R9" s="216"/>
      <c r="S9" s="213"/>
      <c r="T9" s="245">
        <v>250</v>
      </c>
      <c r="U9" s="245">
        <v>0</v>
      </c>
      <c r="V9" s="216"/>
      <c r="W9" s="213"/>
      <c r="X9" s="245">
        <v>250</v>
      </c>
      <c r="Y9" s="245">
        <v>0</v>
      </c>
      <c r="Z9" s="216">
        <v>0</v>
      </c>
      <c r="AA9" s="213"/>
      <c r="AB9" s="245">
        <v>250</v>
      </c>
      <c r="AC9" s="245">
        <v>0</v>
      </c>
      <c r="AD9" s="216">
        <v>0</v>
      </c>
      <c r="AE9" s="213"/>
      <c r="AF9" s="212">
        <v>250</v>
      </c>
      <c r="AG9" s="380">
        <v>250</v>
      </c>
      <c r="AH9" s="245">
        <v>0</v>
      </c>
      <c r="AI9" s="216">
        <f t="shared" ref="AI9:AI24" si="0">(AG9-AB9)/AB9</f>
        <v>0</v>
      </c>
      <c r="AJ9" s="80"/>
      <c r="AK9" s="398">
        <v>250</v>
      </c>
      <c r="AL9" s="398">
        <v>0</v>
      </c>
      <c r="AM9" s="396">
        <f t="shared" ref="AM9:AM26" si="1">(AK9-AG9)/AG9</f>
        <v>0</v>
      </c>
      <c r="AN9" s="397"/>
      <c r="AO9" s="408">
        <f>'FY20 Payroll Schedule'!J104</f>
        <v>250</v>
      </c>
      <c r="AP9" s="399">
        <f>AO9-AK9</f>
        <v>0</v>
      </c>
      <c r="AQ9" s="396">
        <f t="shared" ref="AQ9:AQ26" si="2">(AO9-AK9)/AK9</f>
        <v>0</v>
      </c>
      <c r="AR9" s="166"/>
    </row>
    <row r="10" spans="1:44" s="118" customFormat="1" x14ac:dyDescent="0.25">
      <c r="A10" s="224"/>
      <c r="B10" s="224"/>
      <c r="C10" s="224" t="s">
        <v>26</v>
      </c>
      <c r="D10" s="225">
        <f>SUM(D6:D9)</f>
        <v>5791.59</v>
      </c>
      <c r="E10" s="225">
        <f>SUM(E6:E9)</f>
        <v>5598.48</v>
      </c>
      <c r="F10" s="226">
        <v>6.3200000000000006E-2</v>
      </c>
      <c r="G10" s="224"/>
      <c r="H10" s="225">
        <f>SUM(H6:H9)</f>
        <v>6193</v>
      </c>
      <c r="I10" s="225">
        <f>SUM(I6:I9)</f>
        <v>5943</v>
      </c>
      <c r="J10" s="226">
        <v>6.3200000000000006E-2</v>
      </c>
      <c r="K10" s="224"/>
      <c r="L10" s="225">
        <f>SUM(L6:L9)</f>
        <v>6584.47</v>
      </c>
      <c r="M10" s="225">
        <f>SUM(M6:M9)</f>
        <v>6032.9699999999993</v>
      </c>
      <c r="N10" s="226">
        <v>6.3200000000000006E-2</v>
      </c>
      <c r="O10" s="224"/>
      <c r="P10" s="225">
        <f>SUM(P6:P9)</f>
        <v>6519.22</v>
      </c>
      <c r="Q10" s="225">
        <f>SUM(Q6:Q9)</f>
        <v>6715.56</v>
      </c>
      <c r="R10" s="226">
        <v>6.3200000000000006E-2</v>
      </c>
      <c r="S10" s="224"/>
      <c r="T10" s="225">
        <f>SUM(T6:T9)</f>
        <v>6613.18</v>
      </c>
      <c r="U10" s="225">
        <f>SUM(U6:U9)</f>
        <v>7052.27</v>
      </c>
      <c r="V10" s="226">
        <v>6.3200000000000006E-2</v>
      </c>
      <c r="W10" s="224"/>
      <c r="X10" s="225">
        <f>SUM(X6:X9)</f>
        <v>6918.72</v>
      </c>
      <c r="Y10" s="225">
        <f>SUM(Y6:Y9)</f>
        <v>7399.32</v>
      </c>
      <c r="Z10" s="226">
        <f>(X10-T10)/T10</f>
        <v>4.6201676046924468E-2</v>
      </c>
      <c r="AA10" s="224"/>
      <c r="AB10" s="225">
        <f>SUM(AB6:AB9)</f>
        <v>7983.43</v>
      </c>
      <c r="AC10" s="225">
        <f>SUM(AC6:AC9)</f>
        <v>6083.69</v>
      </c>
      <c r="AD10" s="226">
        <f>(AB10-X10)/X10</f>
        <v>0.15388829147587993</v>
      </c>
      <c r="AE10" s="224"/>
      <c r="AF10" s="227">
        <f>SUM(AF6:AF9)</f>
        <v>12368.59</v>
      </c>
      <c r="AG10" s="227">
        <f>SUM(AG6:AG9)</f>
        <v>11416.619999999999</v>
      </c>
      <c r="AH10" s="225">
        <f>SUM(AH6:AH9)</f>
        <v>11166.619999999999</v>
      </c>
      <c r="AI10" s="226">
        <f t="shared" si="0"/>
        <v>0.43003946925068531</v>
      </c>
      <c r="AJ10" s="226"/>
      <c r="AK10" s="225">
        <f>SUM(AK6:AK9)</f>
        <v>12027.363000000001</v>
      </c>
      <c r="AL10" s="225">
        <f>SUM(AL6:AL9)</f>
        <v>5790.8899999999994</v>
      </c>
      <c r="AM10" s="226">
        <f t="shared" si="1"/>
        <v>5.3495955895878314E-2</v>
      </c>
      <c r="AN10" s="224"/>
      <c r="AO10" s="227">
        <f>SUM(AO6:AO9)</f>
        <v>12757.151320000001</v>
      </c>
      <c r="AP10" s="227">
        <f>SUM(AP6:AP9)</f>
        <v>729.78832000000125</v>
      </c>
      <c r="AQ10" s="226">
        <f t="shared" si="2"/>
        <v>6.0677333842838167E-2</v>
      </c>
      <c r="AR10" s="224"/>
    </row>
    <row r="11" spans="1:44" x14ac:dyDescent="0.25">
      <c r="D11" s="112"/>
      <c r="E11" s="112"/>
      <c r="F11" s="216"/>
      <c r="H11" s="112"/>
      <c r="I11" s="112"/>
      <c r="J11" s="216"/>
      <c r="L11" s="112"/>
      <c r="M11" s="112"/>
      <c r="N11" s="216"/>
      <c r="P11" s="112"/>
      <c r="Q11" s="112"/>
      <c r="R11" s="216"/>
      <c r="T11" s="112"/>
      <c r="U11" s="112"/>
      <c r="V11" s="80"/>
      <c r="X11" s="112"/>
      <c r="Y11" s="112"/>
      <c r="Z11" s="80"/>
      <c r="AB11" s="112"/>
      <c r="AC11" s="112"/>
      <c r="AD11" s="80"/>
      <c r="AF11" s="212"/>
      <c r="AG11" s="212"/>
      <c r="AH11" s="112"/>
      <c r="AI11" s="216"/>
      <c r="AJ11" s="80"/>
      <c r="AK11" s="112"/>
      <c r="AL11" s="112"/>
      <c r="AM11" s="396"/>
      <c r="AP11" s="112"/>
      <c r="AQ11" s="396"/>
    </row>
    <row r="12" spans="1:44" x14ac:dyDescent="0.25">
      <c r="C12" s="111" t="s">
        <v>277</v>
      </c>
      <c r="D12" s="112"/>
      <c r="E12" s="245"/>
      <c r="F12" s="216"/>
      <c r="H12" s="112"/>
      <c r="I12" s="245"/>
      <c r="J12" s="216"/>
      <c r="L12" s="112"/>
      <c r="M12" s="245"/>
      <c r="N12" s="216"/>
      <c r="P12" s="112"/>
      <c r="Q12" s="245"/>
      <c r="R12" s="216"/>
      <c r="T12" s="112"/>
      <c r="U12" s="162"/>
      <c r="V12" s="80"/>
      <c r="X12" s="112"/>
      <c r="Y12" s="162"/>
      <c r="Z12" s="80"/>
      <c r="AB12" s="112"/>
      <c r="AC12" s="162"/>
      <c r="AD12" s="80"/>
      <c r="AF12" s="112"/>
      <c r="AG12" s="112"/>
      <c r="AH12" s="245"/>
      <c r="AI12" s="216"/>
      <c r="AJ12" s="80"/>
      <c r="AK12" s="112"/>
      <c r="AL12" s="398"/>
      <c r="AM12" s="396"/>
      <c r="AP12" s="162"/>
      <c r="AQ12" s="396"/>
      <c r="AR12" s="111"/>
    </row>
    <row r="13" spans="1:44" s="211" customFormat="1" ht="14.25" x14ac:dyDescent="0.3">
      <c r="A13" s="211" t="s">
        <v>724</v>
      </c>
      <c r="B13" s="211" t="str">
        <f t="shared" ref="B13:B23" si="3">MID(A13,14,4)</f>
        <v>5241</v>
      </c>
      <c r="C13" s="211" t="s">
        <v>1630</v>
      </c>
      <c r="D13" s="245">
        <v>3700</v>
      </c>
      <c r="E13" s="245">
        <v>2714.04</v>
      </c>
      <c r="F13" s="216"/>
      <c r="G13" s="213"/>
      <c r="H13" s="245">
        <v>5500</v>
      </c>
      <c r="I13" s="245">
        <v>12452.44</v>
      </c>
      <c r="J13" s="216"/>
      <c r="K13" s="213"/>
      <c r="L13" s="245">
        <v>12500</v>
      </c>
      <c r="M13" s="245">
        <v>13077.3</v>
      </c>
      <c r="N13" s="216"/>
      <c r="O13" s="213"/>
      <c r="P13" s="245">
        <v>12500</v>
      </c>
      <c r="Q13" s="245">
        <v>9500</v>
      </c>
      <c r="R13" s="216"/>
      <c r="S13" s="213"/>
      <c r="T13" s="245">
        <v>14300</v>
      </c>
      <c r="U13" s="245">
        <v>9610.01</v>
      </c>
      <c r="V13" s="216"/>
      <c r="W13" s="213"/>
      <c r="X13" s="245">
        <v>14300</v>
      </c>
      <c r="Y13" s="245">
        <v>9600</v>
      </c>
      <c r="Z13" s="216">
        <v>0</v>
      </c>
      <c r="AA13" s="213"/>
      <c r="AB13" s="245">
        <v>14600</v>
      </c>
      <c r="AC13" s="245">
        <v>14825</v>
      </c>
      <c r="AD13" s="216">
        <f t="shared" ref="AD13:AD22" si="4">(AB13-X13)/X13</f>
        <v>2.097902097902098E-2</v>
      </c>
      <c r="AE13" s="213"/>
      <c r="AF13" s="245">
        <v>15900</v>
      </c>
      <c r="AG13" s="245">
        <v>15900</v>
      </c>
      <c r="AH13" s="245">
        <v>16678</v>
      </c>
      <c r="AI13" s="216">
        <f t="shared" si="0"/>
        <v>8.9041095890410954E-2</v>
      </c>
      <c r="AJ13" s="216"/>
      <c r="AK13" s="398">
        <v>24400</v>
      </c>
      <c r="AL13" s="398">
        <v>8826.9</v>
      </c>
      <c r="AM13" s="396">
        <f t="shared" si="1"/>
        <v>0.53459119496855345</v>
      </c>
      <c r="AN13" s="397"/>
      <c r="AO13" s="163">
        <v>24400</v>
      </c>
      <c r="AP13" s="399">
        <f t="shared" ref="AP13:AP22" si="5">AO13-AK13</f>
        <v>0</v>
      </c>
      <c r="AQ13" s="396">
        <f t="shared" si="2"/>
        <v>0</v>
      </c>
      <c r="AR13" s="156" t="s">
        <v>1440</v>
      </c>
    </row>
    <row r="14" spans="1:44" x14ac:dyDescent="0.25">
      <c r="A14" s="161" t="s">
        <v>725</v>
      </c>
      <c r="B14" s="211" t="str">
        <f t="shared" si="3"/>
        <v>5245</v>
      </c>
      <c r="C14" s="161" t="s">
        <v>1633</v>
      </c>
      <c r="D14" s="245">
        <v>200</v>
      </c>
      <c r="E14" s="245">
        <v>0</v>
      </c>
      <c r="F14" s="216"/>
      <c r="G14" s="213"/>
      <c r="H14" s="245">
        <v>200</v>
      </c>
      <c r="I14" s="245">
        <v>0</v>
      </c>
      <c r="J14" s="216"/>
      <c r="K14" s="213"/>
      <c r="L14" s="245">
        <v>200</v>
      </c>
      <c r="M14" s="245">
        <v>0</v>
      </c>
      <c r="N14" s="216"/>
      <c r="O14" s="213"/>
      <c r="P14" s="245">
        <v>200</v>
      </c>
      <c r="Q14" s="245">
        <v>0</v>
      </c>
      <c r="R14" s="216"/>
      <c r="S14" s="213"/>
      <c r="T14" s="245">
        <v>200</v>
      </c>
      <c r="U14" s="245">
        <v>0</v>
      </c>
      <c r="V14" s="216"/>
      <c r="W14" s="213"/>
      <c r="X14" s="245">
        <v>200</v>
      </c>
      <c r="Y14" s="245">
        <v>0</v>
      </c>
      <c r="Z14" s="216">
        <v>0</v>
      </c>
      <c r="AA14" s="213"/>
      <c r="AB14" s="245">
        <v>200</v>
      </c>
      <c r="AC14" s="245">
        <v>0</v>
      </c>
      <c r="AD14" s="216">
        <f t="shared" si="4"/>
        <v>0</v>
      </c>
      <c r="AE14" s="213"/>
      <c r="AF14" s="245">
        <v>200</v>
      </c>
      <c r="AG14" s="245">
        <v>200</v>
      </c>
      <c r="AH14" s="245">
        <v>0</v>
      </c>
      <c r="AI14" s="216">
        <f t="shared" si="0"/>
        <v>0</v>
      </c>
      <c r="AJ14" s="80"/>
      <c r="AK14" s="398">
        <v>200</v>
      </c>
      <c r="AL14" s="398">
        <v>0</v>
      </c>
      <c r="AM14" s="396">
        <f t="shared" si="1"/>
        <v>0</v>
      </c>
      <c r="AN14" s="397"/>
      <c r="AO14" s="163">
        <v>0</v>
      </c>
      <c r="AP14" s="399">
        <f t="shared" si="5"/>
        <v>-200</v>
      </c>
      <c r="AQ14" s="396">
        <f t="shared" si="2"/>
        <v>-1</v>
      </c>
      <c r="AR14" s="400"/>
    </row>
    <row r="15" spans="1:44" hidden="1" x14ac:dyDescent="0.25">
      <c r="A15" s="161" t="s">
        <v>726</v>
      </c>
      <c r="B15" s="211" t="str">
        <f t="shared" si="3"/>
        <v>5254</v>
      </c>
      <c r="C15" s="161" t="s">
        <v>1753</v>
      </c>
      <c r="D15" s="245">
        <v>13200</v>
      </c>
      <c r="E15" s="245">
        <v>3200</v>
      </c>
      <c r="F15" s="216"/>
      <c r="G15" s="213"/>
      <c r="H15" s="245">
        <v>12000</v>
      </c>
      <c r="I15" s="245">
        <v>0</v>
      </c>
      <c r="J15" s="216"/>
      <c r="K15" s="213"/>
      <c r="L15" s="245">
        <v>0</v>
      </c>
      <c r="M15" s="245">
        <v>0</v>
      </c>
      <c r="N15" s="216"/>
      <c r="O15" s="213"/>
      <c r="P15" s="245">
        <v>0</v>
      </c>
      <c r="Q15" s="245">
        <v>0</v>
      </c>
      <c r="R15" s="216"/>
      <c r="S15" s="213"/>
      <c r="T15" s="245">
        <v>0</v>
      </c>
      <c r="U15" s="245">
        <v>0</v>
      </c>
      <c r="V15" s="216"/>
      <c r="W15" s="213"/>
      <c r="X15" s="245">
        <v>0</v>
      </c>
      <c r="Y15" s="245">
        <v>0</v>
      </c>
      <c r="Z15" s="216" t="e">
        <v>#DIV/0!</v>
      </c>
      <c r="AA15" s="213"/>
      <c r="AB15" s="245">
        <v>0</v>
      </c>
      <c r="AC15" s="245">
        <v>0</v>
      </c>
      <c r="AD15" s="216" t="e">
        <f t="shared" si="4"/>
        <v>#DIV/0!</v>
      </c>
      <c r="AE15" s="213"/>
      <c r="AF15" s="245">
        <v>0</v>
      </c>
      <c r="AG15" s="245">
        <v>0</v>
      </c>
      <c r="AH15" s="245"/>
      <c r="AI15" s="216" t="e">
        <f t="shared" si="0"/>
        <v>#DIV/0!</v>
      </c>
      <c r="AJ15" s="80"/>
      <c r="AK15" s="398">
        <v>0</v>
      </c>
      <c r="AL15" s="398">
        <v>0</v>
      </c>
      <c r="AM15" s="396" t="e">
        <f t="shared" si="1"/>
        <v>#DIV/0!</v>
      </c>
      <c r="AN15" s="397"/>
      <c r="AO15" s="163"/>
      <c r="AP15" s="399">
        <f t="shared" si="5"/>
        <v>0</v>
      </c>
      <c r="AQ15" s="396" t="e">
        <f t="shared" si="2"/>
        <v>#DIV/0!</v>
      </c>
      <c r="AR15" s="166"/>
    </row>
    <row r="16" spans="1:44" s="211" customFormat="1" x14ac:dyDescent="0.25">
      <c r="A16" s="211" t="s">
        <v>727</v>
      </c>
      <c r="B16" s="211" t="str">
        <f t="shared" si="3"/>
        <v>5306</v>
      </c>
      <c r="C16" s="211" t="s">
        <v>1599</v>
      </c>
      <c r="D16" s="245">
        <v>50</v>
      </c>
      <c r="E16" s="245">
        <v>0</v>
      </c>
      <c r="F16" s="216"/>
      <c r="G16" s="213"/>
      <c r="H16" s="245">
        <v>50</v>
      </c>
      <c r="I16" s="245">
        <v>0</v>
      </c>
      <c r="J16" s="216"/>
      <c r="K16" s="213"/>
      <c r="L16" s="245">
        <v>100</v>
      </c>
      <c r="M16" s="245">
        <v>187.25</v>
      </c>
      <c r="N16" s="216"/>
      <c r="O16" s="213"/>
      <c r="P16" s="245">
        <v>100</v>
      </c>
      <c r="Q16" s="245">
        <v>0</v>
      </c>
      <c r="R16" s="216"/>
      <c r="S16" s="213"/>
      <c r="T16" s="245">
        <v>0</v>
      </c>
      <c r="U16" s="245">
        <v>0</v>
      </c>
      <c r="V16" s="216"/>
      <c r="W16" s="213"/>
      <c r="X16" s="245">
        <v>0</v>
      </c>
      <c r="Y16" s="245">
        <v>11.9</v>
      </c>
      <c r="Z16" s="216" t="e">
        <v>#DIV/0!</v>
      </c>
      <c r="AA16" s="213"/>
      <c r="AB16" s="245">
        <v>0</v>
      </c>
      <c r="AC16" s="245">
        <v>129.41</v>
      </c>
      <c r="AD16" s="216" t="e">
        <f t="shared" si="4"/>
        <v>#DIV/0!</v>
      </c>
      <c r="AE16" s="213"/>
      <c r="AF16" s="245">
        <v>100</v>
      </c>
      <c r="AG16" s="245">
        <v>100</v>
      </c>
      <c r="AH16" s="245">
        <v>67.900000000000006</v>
      </c>
      <c r="AI16" s="216" t="e">
        <f t="shared" si="0"/>
        <v>#DIV/0!</v>
      </c>
      <c r="AJ16" s="216"/>
      <c r="AK16" s="398">
        <v>100</v>
      </c>
      <c r="AL16" s="398">
        <v>21</v>
      </c>
      <c r="AM16" s="396">
        <f t="shared" si="1"/>
        <v>0</v>
      </c>
      <c r="AN16" s="397"/>
      <c r="AO16" s="163">
        <v>100</v>
      </c>
      <c r="AP16" s="399">
        <f t="shared" si="5"/>
        <v>0</v>
      </c>
      <c r="AQ16" s="396">
        <f t="shared" si="2"/>
        <v>0</v>
      </c>
      <c r="AR16" s="288"/>
    </row>
    <row r="17" spans="1:44" hidden="1" x14ac:dyDescent="0.25">
      <c r="A17" s="161" t="s">
        <v>728</v>
      </c>
      <c r="B17" s="211" t="str">
        <f t="shared" si="3"/>
        <v>5344</v>
      </c>
      <c r="C17" s="161" t="s">
        <v>1601</v>
      </c>
      <c r="D17" s="245">
        <v>35</v>
      </c>
      <c r="E17" s="245">
        <v>0</v>
      </c>
      <c r="F17" s="216"/>
      <c r="G17" s="213"/>
      <c r="H17" s="245">
        <v>35</v>
      </c>
      <c r="I17" s="245">
        <v>0</v>
      </c>
      <c r="J17" s="216"/>
      <c r="K17" s="213"/>
      <c r="L17" s="245">
        <v>35</v>
      </c>
      <c r="M17" s="245">
        <v>0</v>
      </c>
      <c r="N17" s="216"/>
      <c r="O17" s="213"/>
      <c r="P17" s="245">
        <v>35</v>
      </c>
      <c r="Q17" s="245">
        <v>0</v>
      </c>
      <c r="R17" s="216"/>
      <c r="S17" s="213"/>
      <c r="T17" s="245">
        <v>0</v>
      </c>
      <c r="U17" s="245">
        <v>0</v>
      </c>
      <c r="V17" s="216"/>
      <c r="W17" s="213"/>
      <c r="X17" s="245">
        <v>0</v>
      </c>
      <c r="Y17" s="245">
        <v>0</v>
      </c>
      <c r="Z17" s="216" t="e">
        <v>#DIV/0!</v>
      </c>
      <c r="AA17" s="213"/>
      <c r="AB17" s="245">
        <v>0</v>
      </c>
      <c r="AC17" s="245">
        <v>0</v>
      </c>
      <c r="AD17" s="216" t="e">
        <f t="shared" si="4"/>
        <v>#DIV/0!</v>
      </c>
      <c r="AE17" s="213"/>
      <c r="AF17" s="245">
        <v>0</v>
      </c>
      <c r="AG17" s="245">
        <v>0</v>
      </c>
      <c r="AH17" s="245"/>
      <c r="AI17" s="216" t="e">
        <f t="shared" si="0"/>
        <v>#DIV/0!</v>
      </c>
      <c r="AJ17" s="80"/>
      <c r="AK17" s="398">
        <v>0</v>
      </c>
      <c r="AL17" s="398">
        <v>0</v>
      </c>
      <c r="AM17" s="396" t="e">
        <f t="shared" si="1"/>
        <v>#DIV/0!</v>
      </c>
      <c r="AN17" s="397"/>
      <c r="AO17" s="163"/>
      <c r="AP17" s="399">
        <f t="shared" si="5"/>
        <v>0</v>
      </c>
      <c r="AQ17" s="396" t="e">
        <f t="shared" si="2"/>
        <v>#DIV/0!</v>
      </c>
      <c r="AR17" s="166"/>
    </row>
    <row r="18" spans="1:44" x14ac:dyDescent="0.25">
      <c r="A18" s="161" t="s">
        <v>729</v>
      </c>
      <c r="B18" s="211" t="str">
        <f t="shared" si="3"/>
        <v>5430</v>
      </c>
      <c r="C18" s="161" t="s">
        <v>1673</v>
      </c>
      <c r="D18" s="245">
        <v>200</v>
      </c>
      <c r="E18" s="245">
        <v>5.45</v>
      </c>
      <c r="F18" s="216"/>
      <c r="G18" s="213"/>
      <c r="H18" s="245">
        <v>200</v>
      </c>
      <c r="I18" s="245">
        <v>0</v>
      </c>
      <c r="J18" s="216"/>
      <c r="K18" s="213"/>
      <c r="L18" s="245">
        <v>300</v>
      </c>
      <c r="M18" s="245">
        <v>0</v>
      </c>
      <c r="N18" s="216"/>
      <c r="O18" s="213"/>
      <c r="P18" s="245">
        <v>300</v>
      </c>
      <c r="Q18" s="245">
        <v>0</v>
      </c>
      <c r="R18" s="216"/>
      <c r="S18" s="213"/>
      <c r="T18" s="245">
        <v>200</v>
      </c>
      <c r="U18" s="245">
        <v>708.7</v>
      </c>
      <c r="V18" s="216"/>
      <c r="W18" s="213"/>
      <c r="X18" s="245">
        <v>200</v>
      </c>
      <c r="Y18" s="245">
        <v>0</v>
      </c>
      <c r="Z18" s="216">
        <v>0</v>
      </c>
      <c r="AA18" s="213"/>
      <c r="AB18" s="245">
        <v>200</v>
      </c>
      <c r="AC18" s="245">
        <v>0</v>
      </c>
      <c r="AD18" s="216">
        <f t="shared" si="4"/>
        <v>0</v>
      </c>
      <c r="AE18" s="213"/>
      <c r="AF18" s="245">
        <v>200</v>
      </c>
      <c r="AG18" s="245">
        <v>200</v>
      </c>
      <c r="AH18" s="245">
        <v>0</v>
      </c>
      <c r="AI18" s="216">
        <f t="shared" si="0"/>
        <v>0</v>
      </c>
      <c r="AJ18" s="80"/>
      <c r="AK18" s="398">
        <v>200</v>
      </c>
      <c r="AL18" s="398">
        <v>0</v>
      </c>
      <c r="AM18" s="396">
        <f t="shared" si="1"/>
        <v>0</v>
      </c>
      <c r="AN18" s="397"/>
      <c r="AO18" s="163">
        <v>300</v>
      </c>
      <c r="AP18" s="399">
        <f t="shared" si="5"/>
        <v>100</v>
      </c>
      <c r="AQ18" s="396">
        <f t="shared" si="2"/>
        <v>0.5</v>
      </c>
      <c r="AR18" s="166" t="s">
        <v>730</v>
      </c>
    </row>
    <row r="19" spans="1:44" x14ac:dyDescent="0.25">
      <c r="A19" s="161" t="s">
        <v>731</v>
      </c>
      <c r="B19" s="211" t="str">
        <f t="shared" si="3"/>
        <v>5460</v>
      </c>
      <c r="C19" s="161" t="s">
        <v>1754</v>
      </c>
      <c r="D19" s="245">
        <v>200</v>
      </c>
      <c r="E19" s="245">
        <v>0</v>
      </c>
      <c r="F19" s="216"/>
      <c r="G19" s="213"/>
      <c r="H19" s="245">
        <v>400</v>
      </c>
      <c r="I19" s="245">
        <v>28.81</v>
      </c>
      <c r="J19" s="216"/>
      <c r="K19" s="213"/>
      <c r="L19" s="245">
        <v>300</v>
      </c>
      <c r="M19" s="245">
        <v>0</v>
      </c>
      <c r="N19" s="216"/>
      <c r="O19" s="213"/>
      <c r="P19" s="245">
        <v>300</v>
      </c>
      <c r="Q19" s="245">
        <v>0</v>
      </c>
      <c r="R19" s="216"/>
      <c r="S19" s="213"/>
      <c r="T19" s="245">
        <v>300</v>
      </c>
      <c r="U19" s="245">
        <v>0</v>
      </c>
      <c r="V19" s="216"/>
      <c r="W19" s="213"/>
      <c r="X19" s="245">
        <v>300</v>
      </c>
      <c r="Y19" s="245">
        <v>0</v>
      </c>
      <c r="Z19" s="216">
        <v>0</v>
      </c>
      <c r="AA19" s="213"/>
      <c r="AB19" s="245">
        <v>200</v>
      </c>
      <c r="AC19" s="245">
        <v>0</v>
      </c>
      <c r="AD19" s="216">
        <f t="shared" si="4"/>
        <v>-0.33333333333333331</v>
      </c>
      <c r="AE19" s="213"/>
      <c r="AF19" s="245">
        <v>200</v>
      </c>
      <c r="AG19" s="245">
        <v>200</v>
      </c>
      <c r="AH19" s="245">
        <v>0</v>
      </c>
      <c r="AI19" s="216">
        <f t="shared" si="0"/>
        <v>0</v>
      </c>
      <c r="AJ19" s="80"/>
      <c r="AK19" s="398">
        <v>200</v>
      </c>
      <c r="AL19" s="398">
        <v>0</v>
      </c>
      <c r="AM19" s="396">
        <f t="shared" si="1"/>
        <v>0</v>
      </c>
      <c r="AN19" s="397"/>
      <c r="AO19" s="163">
        <v>200</v>
      </c>
      <c r="AP19" s="399">
        <f t="shared" si="5"/>
        <v>0</v>
      </c>
      <c r="AQ19" s="396">
        <f t="shared" si="2"/>
        <v>0</v>
      </c>
      <c r="AR19" s="166" t="s">
        <v>732</v>
      </c>
    </row>
    <row r="20" spans="1:44" x14ac:dyDescent="0.25">
      <c r="A20" s="161" t="s">
        <v>733</v>
      </c>
      <c r="B20" s="211" t="str">
        <f t="shared" si="3"/>
        <v>5589</v>
      </c>
      <c r="C20" s="161" t="s">
        <v>1604</v>
      </c>
      <c r="D20" s="245">
        <v>400</v>
      </c>
      <c r="E20" s="245">
        <v>165.44</v>
      </c>
      <c r="F20" s="216"/>
      <c r="G20" s="213"/>
      <c r="H20" s="245">
        <v>150</v>
      </c>
      <c r="I20" s="245">
        <v>86.26</v>
      </c>
      <c r="J20" s="216"/>
      <c r="K20" s="213"/>
      <c r="L20" s="245">
        <v>150</v>
      </c>
      <c r="M20" s="245">
        <v>96.87</v>
      </c>
      <c r="N20" s="216"/>
      <c r="O20" s="213"/>
      <c r="P20" s="245">
        <v>150</v>
      </c>
      <c r="Q20" s="245">
        <v>97.1</v>
      </c>
      <c r="R20" s="216"/>
      <c r="S20" s="213"/>
      <c r="T20" s="245">
        <v>150</v>
      </c>
      <c r="U20" s="245">
        <v>113.2</v>
      </c>
      <c r="V20" s="216"/>
      <c r="W20" s="213"/>
      <c r="X20" s="245">
        <v>150</v>
      </c>
      <c r="Y20" s="245">
        <v>112.21</v>
      </c>
      <c r="Z20" s="216">
        <v>0</v>
      </c>
      <c r="AA20" s="213"/>
      <c r="AB20" s="245">
        <v>100</v>
      </c>
      <c r="AC20" s="245">
        <v>125.36</v>
      </c>
      <c r="AD20" s="216">
        <f t="shared" si="4"/>
        <v>-0.33333333333333331</v>
      </c>
      <c r="AE20" s="213"/>
      <c r="AF20" s="245">
        <v>100</v>
      </c>
      <c r="AG20" s="245">
        <v>100</v>
      </c>
      <c r="AH20" s="245">
        <v>153.15</v>
      </c>
      <c r="AI20" s="216">
        <f t="shared" si="0"/>
        <v>0</v>
      </c>
      <c r="AJ20" s="80"/>
      <c r="AK20" s="398">
        <v>100</v>
      </c>
      <c r="AL20" s="398">
        <v>0</v>
      </c>
      <c r="AM20" s="396">
        <f t="shared" si="1"/>
        <v>0</v>
      </c>
      <c r="AN20" s="397"/>
      <c r="AO20" s="163">
        <v>200</v>
      </c>
      <c r="AP20" s="399">
        <f t="shared" si="5"/>
        <v>100</v>
      </c>
      <c r="AQ20" s="396">
        <f t="shared" si="2"/>
        <v>1</v>
      </c>
      <c r="AR20" s="166"/>
    </row>
    <row r="21" spans="1:44" x14ac:dyDescent="0.25">
      <c r="A21" s="161" t="s">
        <v>734</v>
      </c>
      <c r="B21" s="211" t="str">
        <f t="shared" si="3"/>
        <v>5711</v>
      </c>
      <c r="C21" s="161" t="s">
        <v>1606</v>
      </c>
      <c r="D21" s="245">
        <v>120</v>
      </c>
      <c r="E21" s="245">
        <v>381.65</v>
      </c>
      <c r="F21" s="216"/>
      <c r="G21" s="213"/>
      <c r="H21" s="245">
        <v>50</v>
      </c>
      <c r="I21" s="245">
        <v>756.96</v>
      </c>
      <c r="J21" s="216"/>
      <c r="K21" s="213"/>
      <c r="L21" s="245">
        <v>500</v>
      </c>
      <c r="M21" s="245">
        <v>289.70999999999998</v>
      </c>
      <c r="N21" s="216"/>
      <c r="O21" s="213"/>
      <c r="P21" s="245">
        <v>500</v>
      </c>
      <c r="Q21" s="245">
        <v>58</v>
      </c>
      <c r="R21" s="216"/>
      <c r="S21" s="213"/>
      <c r="T21" s="245">
        <v>100</v>
      </c>
      <c r="U21" s="245">
        <v>0</v>
      </c>
      <c r="V21" s="216"/>
      <c r="W21" s="213"/>
      <c r="X21" s="245">
        <v>100</v>
      </c>
      <c r="Y21" s="245">
        <v>0</v>
      </c>
      <c r="Z21" s="216">
        <v>0</v>
      </c>
      <c r="AA21" s="213"/>
      <c r="AB21" s="245">
        <v>100</v>
      </c>
      <c r="AC21" s="245">
        <v>0</v>
      </c>
      <c r="AD21" s="216">
        <f t="shared" si="4"/>
        <v>0</v>
      </c>
      <c r="AE21" s="213"/>
      <c r="AF21" s="245">
        <v>100</v>
      </c>
      <c r="AG21" s="245">
        <v>100</v>
      </c>
      <c r="AH21" s="245">
        <v>0</v>
      </c>
      <c r="AI21" s="216">
        <f t="shared" si="0"/>
        <v>0</v>
      </c>
      <c r="AJ21" s="80"/>
      <c r="AK21" s="398">
        <v>100</v>
      </c>
      <c r="AL21" s="398">
        <v>0</v>
      </c>
      <c r="AM21" s="396">
        <f t="shared" si="1"/>
        <v>0</v>
      </c>
      <c r="AN21" s="397"/>
      <c r="AO21" s="163">
        <v>100</v>
      </c>
      <c r="AP21" s="399">
        <f t="shared" si="5"/>
        <v>0</v>
      </c>
      <c r="AQ21" s="396">
        <f t="shared" si="2"/>
        <v>0</v>
      </c>
      <c r="AR21" s="166"/>
    </row>
    <row r="22" spans="1:44" x14ac:dyDescent="0.25">
      <c r="A22" s="211" t="s">
        <v>735</v>
      </c>
      <c r="B22" s="211" t="str">
        <f t="shared" si="3"/>
        <v>5730</v>
      </c>
      <c r="C22" s="211" t="s">
        <v>1594</v>
      </c>
      <c r="D22" s="245">
        <v>100</v>
      </c>
      <c r="E22" s="245">
        <v>40</v>
      </c>
      <c r="F22" s="216"/>
      <c r="G22" s="213"/>
      <c r="H22" s="245">
        <v>0</v>
      </c>
      <c r="I22" s="245">
        <v>0</v>
      </c>
      <c r="J22" s="216"/>
      <c r="K22" s="213"/>
      <c r="L22" s="245">
        <v>0</v>
      </c>
      <c r="M22" s="245">
        <v>0</v>
      </c>
      <c r="N22" s="216"/>
      <c r="O22" s="213"/>
      <c r="P22" s="245">
        <v>0</v>
      </c>
      <c r="Q22" s="245">
        <v>60</v>
      </c>
      <c r="R22" s="216"/>
      <c r="S22" s="213"/>
      <c r="T22" s="245">
        <v>0</v>
      </c>
      <c r="U22" s="245">
        <v>100</v>
      </c>
      <c r="V22" s="216"/>
      <c r="W22" s="213"/>
      <c r="X22" s="245">
        <v>100</v>
      </c>
      <c r="Y22" s="245">
        <v>0</v>
      </c>
      <c r="Z22" s="216" t="e">
        <v>#DIV/0!</v>
      </c>
      <c r="AA22" s="213"/>
      <c r="AB22" s="245">
        <v>100</v>
      </c>
      <c r="AC22" s="245">
        <v>0</v>
      </c>
      <c r="AD22" s="216">
        <f t="shared" si="4"/>
        <v>0</v>
      </c>
      <c r="AE22" s="213"/>
      <c r="AF22" s="245">
        <v>100</v>
      </c>
      <c r="AG22" s="245">
        <v>100</v>
      </c>
      <c r="AH22" s="245">
        <v>0</v>
      </c>
      <c r="AI22" s="216">
        <f t="shared" si="0"/>
        <v>0</v>
      </c>
      <c r="AJ22" s="216"/>
      <c r="AK22" s="398">
        <v>100</v>
      </c>
      <c r="AL22" s="398">
        <v>0</v>
      </c>
      <c r="AM22" s="396">
        <f t="shared" si="1"/>
        <v>0</v>
      </c>
      <c r="AN22" s="397"/>
      <c r="AO22" s="163">
        <v>100</v>
      </c>
      <c r="AP22" s="399">
        <f t="shared" si="5"/>
        <v>0</v>
      </c>
      <c r="AQ22" s="396">
        <f t="shared" si="2"/>
        <v>0</v>
      </c>
      <c r="AR22" s="288" t="s">
        <v>1098</v>
      </c>
    </row>
    <row r="23" spans="1:44" hidden="1" x14ac:dyDescent="0.25">
      <c r="A23" s="161" t="s">
        <v>736</v>
      </c>
      <c r="B23" s="211" t="str">
        <f t="shared" si="3"/>
        <v>5850</v>
      </c>
      <c r="C23" s="161" t="s">
        <v>1674</v>
      </c>
      <c r="D23" s="245">
        <v>300</v>
      </c>
      <c r="E23" s="245">
        <v>0</v>
      </c>
      <c r="F23" s="216"/>
      <c r="G23" s="213"/>
      <c r="H23" s="245">
        <v>100</v>
      </c>
      <c r="I23" s="245">
        <v>0</v>
      </c>
      <c r="J23" s="216"/>
      <c r="K23" s="213"/>
      <c r="L23" s="245">
        <v>100</v>
      </c>
      <c r="M23" s="245">
        <v>0</v>
      </c>
      <c r="N23" s="216"/>
      <c r="O23" s="213"/>
      <c r="P23" s="245">
        <v>100</v>
      </c>
      <c r="Q23" s="245">
        <v>0</v>
      </c>
      <c r="R23" s="216"/>
      <c r="S23" s="213"/>
      <c r="T23" s="245">
        <v>100</v>
      </c>
      <c r="U23" s="245">
        <v>0</v>
      </c>
      <c r="V23" s="216"/>
      <c r="W23" s="213"/>
      <c r="X23" s="245">
        <v>100</v>
      </c>
      <c r="Y23" s="245">
        <v>0</v>
      </c>
      <c r="Z23" s="216">
        <v>0</v>
      </c>
      <c r="AA23" s="213"/>
      <c r="AB23" s="245">
        <v>0</v>
      </c>
      <c r="AC23" s="245">
        <v>0</v>
      </c>
      <c r="AD23" s="216">
        <v>-1</v>
      </c>
      <c r="AE23" s="213"/>
      <c r="AF23" s="245"/>
      <c r="AG23" s="245"/>
      <c r="AH23" s="245"/>
      <c r="AI23" s="216"/>
      <c r="AJ23" s="80"/>
      <c r="AK23" s="398" t="e">
        <f ca="1">_xll.GL($A23,DATA!$AB$5,DATA!$A$1,DATA!$AB$6,DATA!$AB$7)</f>
        <v>#NAME?</v>
      </c>
      <c r="AL23" s="398" t="e">
        <f ca="1">_xll.GL($A23,DATA!$AC$5,DATA!$A$1,DATA!$AC$6,DATA!$AC$7)</f>
        <v>#NAME?</v>
      </c>
      <c r="AM23" s="396" t="e">
        <f t="shared" ca="1" si="1"/>
        <v>#NAME?</v>
      </c>
      <c r="AN23" s="397"/>
      <c r="AO23" s="163"/>
      <c r="AP23" s="212">
        <f>AO23-AG23</f>
        <v>0</v>
      </c>
      <c r="AQ23" s="396" t="e">
        <f t="shared" ca="1" si="2"/>
        <v>#NAME?</v>
      </c>
      <c r="AR23" s="166" t="s">
        <v>908</v>
      </c>
    </row>
    <row r="24" spans="1:44" s="118" customFormat="1" x14ac:dyDescent="0.25">
      <c r="A24" s="219"/>
      <c r="B24" s="219"/>
      <c r="C24" s="219" t="s">
        <v>279</v>
      </c>
      <c r="D24" s="220">
        <f>SUM(D13:D23)</f>
        <v>18505</v>
      </c>
      <c r="E24" s="220">
        <f>SUM(E13:E23)</f>
        <v>6506.579999999999</v>
      </c>
      <c r="F24" s="221">
        <v>-0.2364</v>
      </c>
      <c r="G24" s="219"/>
      <c r="H24" s="220">
        <f>SUM(H13:H23)</f>
        <v>18685</v>
      </c>
      <c r="I24" s="220">
        <f>SUM(I13:I23)</f>
        <v>13324.470000000001</v>
      </c>
      <c r="J24" s="221">
        <v>-0.2364</v>
      </c>
      <c r="K24" s="219"/>
      <c r="L24" s="220">
        <f>SUM(L13:L23)</f>
        <v>14185</v>
      </c>
      <c r="M24" s="220">
        <f>SUM(M13:M23)</f>
        <v>13651.13</v>
      </c>
      <c r="N24" s="221">
        <v>-0.2364</v>
      </c>
      <c r="O24" s="219"/>
      <c r="P24" s="220">
        <f>SUM(P13:P23)</f>
        <v>14185</v>
      </c>
      <c r="Q24" s="220">
        <f>SUM(Q13:Q23)</f>
        <v>9715.1</v>
      </c>
      <c r="R24" s="221">
        <v>-0.2364</v>
      </c>
      <c r="S24" s="219"/>
      <c r="T24" s="220">
        <f>SUM(T13:T23)</f>
        <v>15350</v>
      </c>
      <c r="U24" s="220">
        <f>SUM(U13:U23)</f>
        <v>10531.910000000002</v>
      </c>
      <c r="V24" s="221">
        <v>-0.2364</v>
      </c>
      <c r="W24" s="219"/>
      <c r="X24" s="220">
        <f>SUM(X13:X23)</f>
        <v>15450</v>
      </c>
      <c r="Y24" s="220">
        <f>SUM(Y13:Y23)</f>
        <v>9724.1099999999988</v>
      </c>
      <c r="Z24" s="222">
        <f>(X24-T24)/T24</f>
        <v>6.5146579804560263E-3</v>
      </c>
      <c r="AA24" s="219"/>
      <c r="AB24" s="220">
        <f>SUM(AB13:AB23)</f>
        <v>15500</v>
      </c>
      <c r="AC24" s="220">
        <f>SUM(AC13:AC23)</f>
        <v>15079.77</v>
      </c>
      <c r="AD24" s="221">
        <f>(AB24-X24)/X24</f>
        <v>3.2362459546925568E-3</v>
      </c>
      <c r="AE24" s="219"/>
      <c r="AF24" s="220">
        <f>SUM(AF13:AF23)</f>
        <v>16900</v>
      </c>
      <c r="AG24" s="220">
        <f>SUM(AG13:AG23)</f>
        <v>16900</v>
      </c>
      <c r="AH24" s="220">
        <f>SUM(AH13:AH23)</f>
        <v>16899.050000000003</v>
      </c>
      <c r="AI24" s="221">
        <f t="shared" si="0"/>
        <v>9.0322580645161285E-2</v>
      </c>
      <c r="AJ24" s="221"/>
      <c r="AK24" s="401" t="e">
        <f ca="1">SUM(AK13:AK23)</f>
        <v>#NAME?</v>
      </c>
      <c r="AL24" s="401" t="e">
        <f ca="1">SUM(AL13:AL23)</f>
        <v>#NAME?</v>
      </c>
      <c r="AM24" s="221" t="e">
        <f t="shared" ca="1" si="1"/>
        <v>#NAME?</v>
      </c>
      <c r="AN24" s="219"/>
      <c r="AO24" s="223">
        <f>SUM(AO13:AO23)</f>
        <v>25400</v>
      </c>
      <c r="AP24" s="223">
        <f>SUM(AP13:AP23)</f>
        <v>0</v>
      </c>
      <c r="AQ24" s="221" t="e">
        <f t="shared" ca="1" si="2"/>
        <v>#NAME?</v>
      </c>
      <c r="AR24" s="219"/>
    </row>
    <row r="25" spans="1:44" x14ac:dyDescent="0.25">
      <c r="A25" s="211"/>
      <c r="B25" s="211"/>
      <c r="C25" s="211"/>
      <c r="D25" s="112"/>
      <c r="E25" s="112"/>
      <c r="F25" s="216"/>
      <c r="G25" s="213"/>
      <c r="H25" s="112"/>
      <c r="I25" s="112"/>
      <c r="J25" s="216"/>
      <c r="K25" s="213"/>
      <c r="L25" s="112"/>
      <c r="M25" s="112"/>
      <c r="N25" s="216"/>
      <c r="O25" s="213"/>
      <c r="P25" s="112"/>
      <c r="Q25" s="112"/>
      <c r="R25" s="216"/>
      <c r="S25" s="213"/>
      <c r="T25" s="112"/>
      <c r="U25" s="112"/>
      <c r="V25" s="216"/>
      <c r="W25" s="213"/>
      <c r="X25" s="112"/>
      <c r="Y25" s="112"/>
      <c r="Z25" s="216"/>
      <c r="AA25" s="213"/>
      <c r="AB25" s="112"/>
      <c r="AC25" s="112"/>
      <c r="AD25" s="216"/>
      <c r="AE25" s="213"/>
      <c r="AF25" s="112"/>
      <c r="AG25" s="112"/>
      <c r="AH25" s="112"/>
      <c r="AI25" s="216"/>
      <c r="AJ25" s="216"/>
      <c r="AK25" s="112"/>
      <c r="AL25" s="112"/>
      <c r="AM25" s="396"/>
      <c r="AN25" s="397"/>
      <c r="AO25" s="212"/>
      <c r="AP25" s="212"/>
      <c r="AQ25" s="396"/>
      <c r="AR25" s="211"/>
    </row>
    <row r="26" spans="1:44" s="118" customFormat="1" ht="12.75" x14ac:dyDescent="0.2">
      <c r="A26" s="228"/>
      <c r="B26" s="228"/>
      <c r="C26" s="233" t="s">
        <v>280</v>
      </c>
      <c r="D26" s="230">
        <f>D10+D24</f>
        <v>24296.59</v>
      </c>
      <c r="E26" s="230">
        <f>E10+E24</f>
        <v>12105.059999999998</v>
      </c>
      <c r="F26" s="231">
        <v>-0.16289999999999999</v>
      </c>
      <c r="G26" s="228"/>
      <c r="H26" s="230">
        <f>H10+H24</f>
        <v>24878</v>
      </c>
      <c r="I26" s="230">
        <f>I10+I24</f>
        <v>19267.47</v>
      </c>
      <c r="J26" s="231">
        <v>-0.16289999999999999</v>
      </c>
      <c r="K26" s="228"/>
      <c r="L26" s="230">
        <f>L10+L24</f>
        <v>20769.47</v>
      </c>
      <c r="M26" s="230">
        <f>M10+M24</f>
        <v>19684.099999999999</v>
      </c>
      <c r="N26" s="231">
        <v>-0.16289999999999999</v>
      </c>
      <c r="O26" s="228"/>
      <c r="P26" s="230">
        <f>P10+P24</f>
        <v>20704.22</v>
      </c>
      <c r="Q26" s="230">
        <f>Q10+Q24</f>
        <v>16430.66</v>
      </c>
      <c r="R26" s="231">
        <v>-0.16289999999999999</v>
      </c>
      <c r="S26" s="228"/>
      <c r="T26" s="230">
        <f>T10+T24</f>
        <v>21963.18</v>
      </c>
      <c r="U26" s="230">
        <f>U10+U24</f>
        <v>17584.18</v>
      </c>
      <c r="V26" s="231">
        <v>-0.16289999999999999</v>
      </c>
      <c r="W26" s="228"/>
      <c r="X26" s="230">
        <f>X10+X24</f>
        <v>22368.720000000001</v>
      </c>
      <c r="Y26" s="230">
        <f>Y10+Y24</f>
        <v>17123.43</v>
      </c>
      <c r="Z26" s="231">
        <f>(X26-T26)/T26</f>
        <v>1.8464539288026636E-2</v>
      </c>
      <c r="AA26" s="228"/>
      <c r="AB26" s="230">
        <f>AB10+AB24</f>
        <v>23483.43</v>
      </c>
      <c r="AC26" s="230">
        <f>AC10+AC24</f>
        <v>21163.46</v>
      </c>
      <c r="AD26" s="231">
        <f>(AB26-X26)/X26</f>
        <v>4.9833428108537234E-2</v>
      </c>
      <c r="AE26" s="228"/>
      <c r="AF26" s="230">
        <f>AF10+AF24</f>
        <v>29268.59</v>
      </c>
      <c r="AG26" s="382">
        <f>AG10+AG24</f>
        <v>28316.62</v>
      </c>
      <c r="AH26" s="230">
        <f>AH10+AH24</f>
        <v>28065.670000000002</v>
      </c>
      <c r="AI26" s="231">
        <f>(AG26-AB26)/AB26</f>
        <v>0.20581277947897725</v>
      </c>
      <c r="AJ26" s="231"/>
      <c r="AK26" s="402" t="e">
        <f ca="1">AK10+AK24</f>
        <v>#NAME?</v>
      </c>
      <c r="AL26" s="402" t="e">
        <f ca="1">AL10+AL24</f>
        <v>#NAME?</v>
      </c>
      <c r="AM26" s="231" t="e">
        <f t="shared" ca="1" si="1"/>
        <v>#NAME?</v>
      </c>
      <c r="AN26" s="228"/>
      <c r="AO26" s="232">
        <f>SUM(AO10+AO24)</f>
        <v>38157.151320000004</v>
      </c>
      <c r="AP26" s="232">
        <f>SUM(AP10+AP24)</f>
        <v>729.78832000000125</v>
      </c>
      <c r="AQ26" s="231" t="e">
        <f t="shared" ca="1" si="2"/>
        <v>#NAME?</v>
      </c>
      <c r="AR26" s="525" t="s">
        <v>2027</v>
      </c>
    </row>
    <row r="27" spans="1:44" x14ac:dyDescent="0.25">
      <c r="D27" s="120"/>
      <c r="H27" s="120"/>
      <c r="L27" s="120"/>
      <c r="P27" s="120"/>
      <c r="T27" s="120"/>
      <c r="X27" s="120"/>
      <c r="AB27" s="120"/>
      <c r="AF27" s="120"/>
      <c r="AG27" s="120"/>
      <c r="AK27" s="403"/>
    </row>
    <row r="28" spans="1:44" s="118" customFormat="1" thickBot="1" x14ac:dyDescent="0.25">
      <c r="A28" s="111"/>
      <c r="B28" s="111"/>
      <c r="C28" s="111" t="s">
        <v>281</v>
      </c>
      <c r="D28" s="122"/>
      <c r="E28" s="121">
        <f>D26-E26</f>
        <v>12191.530000000002</v>
      </c>
      <c r="F28" s="111"/>
      <c r="G28" s="111"/>
      <c r="H28" s="122"/>
      <c r="I28" s="121">
        <f>H26-I26</f>
        <v>5610.5299999999988</v>
      </c>
      <c r="J28" s="111"/>
      <c r="K28" s="111"/>
      <c r="L28" s="122"/>
      <c r="M28" s="121">
        <f>L26-M26</f>
        <v>1085.3700000000026</v>
      </c>
      <c r="N28" s="111"/>
      <c r="O28" s="111"/>
      <c r="P28" s="122"/>
      <c r="Q28" s="121">
        <f>P26-Q26</f>
        <v>4273.5600000000013</v>
      </c>
      <c r="R28" s="111"/>
      <c r="S28" s="111"/>
      <c r="T28" s="122"/>
      <c r="U28" s="121">
        <f>T26-U26</f>
        <v>4379</v>
      </c>
      <c r="V28" s="111"/>
      <c r="W28" s="111"/>
      <c r="X28" s="122"/>
      <c r="Y28" s="121">
        <f>X26-Y26</f>
        <v>5245.2900000000009</v>
      </c>
      <c r="Z28" s="111"/>
      <c r="AA28" s="111"/>
      <c r="AB28" s="122"/>
      <c r="AC28" s="121">
        <f>AB26-AC26</f>
        <v>2319.9700000000012</v>
      </c>
      <c r="AD28" s="111"/>
      <c r="AE28" s="111"/>
      <c r="AF28" s="122"/>
      <c r="AG28" s="122"/>
      <c r="AH28" s="121">
        <f>AG26-AH26</f>
        <v>250.94999999999709</v>
      </c>
      <c r="AI28" s="111"/>
      <c r="AJ28" s="111"/>
      <c r="AK28" s="122"/>
      <c r="AL28" s="121" t="e">
        <f ca="1">AK26-AL26</f>
        <v>#NAME?</v>
      </c>
      <c r="AM28" s="111"/>
      <c r="AN28" s="111"/>
      <c r="AO28" s="123"/>
      <c r="AP28" s="123"/>
      <c r="AQ28" s="111"/>
      <c r="AR28" s="111"/>
    </row>
    <row r="29" spans="1:44" ht="14.25" thickTop="1" x14ac:dyDescent="0.25">
      <c r="D29" s="120"/>
      <c r="F29" s="216"/>
      <c r="H29" s="120"/>
      <c r="J29" s="216"/>
      <c r="L29" s="120"/>
      <c r="N29" s="216"/>
      <c r="P29" s="120"/>
      <c r="R29" s="216"/>
      <c r="T29" s="120"/>
      <c r="V29" s="80"/>
      <c r="X29" s="120"/>
      <c r="AB29" s="120"/>
      <c r="AF29" s="120"/>
      <c r="AG29" s="120"/>
      <c r="AK29" s="403"/>
      <c r="AO29" s="240" t="s">
        <v>1195</v>
      </c>
      <c r="AP29" s="241"/>
      <c r="AQ29" s="242"/>
      <c r="AR29" s="211"/>
    </row>
    <row r="30" spans="1:44" x14ac:dyDescent="0.25">
      <c r="F30" s="216"/>
      <c r="J30" s="216"/>
      <c r="N30" s="216"/>
      <c r="R30" s="216"/>
      <c r="V30" s="80"/>
      <c r="AO30" s="243" t="s">
        <v>313</v>
      </c>
      <c r="AP30" s="5"/>
      <c r="AQ30" s="299">
        <f>AO10*0.0145</f>
        <v>184.97869414000002</v>
      </c>
      <c r="AR30" s="211"/>
    </row>
    <row r="31" spans="1:44" x14ac:dyDescent="0.25">
      <c r="AO31" s="210" t="s">
        <v>314</v>
      </c>
      <c r="AP31" s="5"/>
      <c r="AQ31" s="299">
        <f>AO10*0.0349</f>
        <v>445.22458106800002</v>
      </c>
      <c r="AR31" s="211"/>
    </row>
    <row r="32" spans="1:44" x14ac:dyDescent="0.25">
      <c r="AO32" s="210" t="s">
        <v>315</v>
      </c>
      <c r="AP32" s="5"/>
      <c r="AQ32" s="299">
        <f>AO10*0.003</f>
        <v>38.271453960000002</v>
      </c>
      <c r="AR32" s="211"/>
    </row>
    <row r="33" spans="4:44" x14ac:dyDescent="0.25">
      <c r="AO33" s="210" t="s">
        <v>316</v>
      </c>
      <c r="AP33" s="5"/>
      <c r="AQ33" s="299">
        <f>'County Retirement'!G26</f>
        <v>1529.6602758898671</v>
      </c>
      <c r="AR33" s="211"/>
    </row>
    <row r="34" spans="4:44" x14ac:dyDescent="0.25">
      <c r="AO34" s="210" t="s">
        <v>317</v>
      </c>
      <c r="AP34" s="5"/>
      <c r="AQ34" s="300" t="s">
        <v>1093</v>
      </c>
      <c r="AR34" s="211"/>
    </row>
    <row r="35" spans="4:44" x14ac:dyDescent="0.25">
      <c r="AO35" s="235"/>
      <c r="AP35" s="237"/>
      <c r="AQ35" s="301">
        <f>SUM(AQ30:AQ34)</f>
        <v>2198.1350050578671</v>
      </c>
      <c r="AR35" s="211"/>
    </row>
    <row r="36" spans="4:44" x14ac:dyDescent="0.25">
      <c r="F36" s="216"/>
      <c r="J36" s="216"/>
      <c r="N36" s="216"/>
      <c r="R36" s="216"/>
      <c r="V36" s="80"/>
      <c r="AO36" s="212"/>
      <c r="AP36" s="212"/>
      <c r="AQ36" s="211"/>
      <c r="AR36" s="211"/>
    </row>
    <row r="37" spans="4:44" x14ac:dyDescent="0.25">
      <c r="F37" s="216"/>
      <c r="J37" s="216"/>
      <c r="N37" s="216"/>
      <c r="R37" s="216"/>
      <c r="V37" s="80"/>
      <c r="AO37" s="212"/>
      <c r="AP37" s="212"/>
      <c r="AQ37" s="211"/>
      <c r="AR37" s="211"/>
    </row>
    <row r="38" spans="4:44" x14ac:dyDescent="0.25">
      <c r="D38" s="120"/>
      <c r="F38" s="216"/>
      <c r="H38" s="120"/>
      <c r="J38" s="216"/>
      <c r="L38" s="120"/>
      <c r="N38" s="216"/>
      <c r="P38" s="120"/>
      <c r="R38" s="216"/>
      <c r="T38" s="120"/>
      <c r="V38" s="80"/>
      <c r="X38" s="120"/>
      <c r="AB38" s="120"/>
      <c r="AF38" s="120"/>
      <c r="AG38" s="120"/>
      <c r="AK38" s="403"/>
      <c r="AO38" s="212"/>
      <c r="AP38" s="212"/>
      <c r="AQ38" s="211"/>
      <c r="AR38" s="211"/>
    </row>
    <row r="39" spans="4:44" x14ac:dyDescent="0.25">
      <c r="D39" s="120"/>
      <c r="F39" s="216"/>
      <c r="H39" s="120"/>
      <c r="J39" s="216"/>
      <c r="L39" s="120"/>
      <c r="N39" s="216"/>
      <c r="P39" s="120"/>
      <c r="R39" s="216"/>
      <c r="T39" s="120"/>
      <c r="V39" s="80"/>
      <c r="X39" s="120"/>
      <c r="AB39" s="120"/>
      <c r="AF39" s="120"/>
      <c r="AG39" s="120"/>
      <c r="AK39" s="403"/>
      <c r="AO39" s="131"/>
      <c r="AP39" s="131"/>
      <c r="AQ39" s="211"/>
      <c r="AR39" s="211"/>
    </row>
    <row r="40" spans="4:44" x14ac:dyDescent="0.25">
      <c r="D40" s="120"/>
      <c r="F40" s="216"/>
      <c r="H40" s="120"/>
      <c r="J40" s="216"/>
      <c r="L40" s="120"/>
      <c r="N40" s="216"/>
      <c r="P40" s="120"/>
      <c r="R40" s="216"/>
      <c r="T40" s="120"/>
      <c r="V40" s="80"/>
      <c r="X40" s="120"/>
      <c r="AB40" s="120"/>
      <c r="AF40" s="120"/>
      <c r="AG40" s="120"/>
      <c r="AK40" s="403"/>
      <c r="AO40" s="131"/>
      <c r="AP40" s="131"/>
      <c r="AQ40" s="211"/>
      <c r="AR40" s="211"/>
    </row>
    <row r="41" spans="4:44" x14ac:dyDescent="0.25">
      <c r="D41" s="120"/>
      <c r="H41" s="120"/>
      <c r="L41" s="120"/>
      <c r="P41" s="120"/>
      <c r="T41" s="120"/>
      <c r="X41" s="120"/>
      <c r="AB41" s="120"/>
      <c r="AF41" s="120"/>
      <c r="AG41" s="120"/>
      <c r="AK41" s="403"/>
      <c r="AO41" s="212"/>
      <c r="AP41" s="212"/>
      <c r="AQ41" s="211"/>
      <c r="AR41" s="211"/>
    </row>
    <row r="42" spans="4:44" x14ac:dyDescent="0.25">
      <c r="D42" s="120"/>
      <c r="H42" s="120"/>
      <c r="L42" s="120"/>
      <c r="P42" s="120"/>
      <c r="T42" s="120"/>
      <c r="X42" s="120"/>
      <c r="AB42" s="120"/>
      <c r="AF42" s="120"/>
      <c r="AG42" s="120"/>
      <c r="AK42" s="403"/>
      <c r="AO42" s="131"/>
      <c r="AP42" s="211"/>
      <c r="AQ42" s="211"/>
      <c r="AR42" s="211"/>
    </row>
    <row r="43" spans="4:44" x14ac:dyDescent="0.25">
      <c r="D43" s="120"/>
      <c r="H43" s="120"/>
      <c r="L43" s="120"/>
      <c r="P43" s="120"/>
      <c r="T43" s="120"/>
      <c r="X43" s="120"/>
      <c r="AB43" s="120"/>
      <c r="AF43" s="120"/>
      <c r="AG43" s="120"/>
      <c r="AK43" s="403"/>
      <c r="AO43" s="131"/>
      <c r="AP43" s="211"/>
      <c r="AQ43" s="211"/>
      <c r="AR43" s="211"/>
    </row>
    <row r="44" spans="4:44" x14ac:dyDescent="0.25">
      <c r="D44" s="120"/>
      <c r="H44" s="120"/>
      <c r="L44" s="120"/>
      <c r="P44" s="120"/>
      <c r="T44" s="120"/>
      <c r="X44" s="120"/>
      <c r="AB44" s="120"/>
      <c r="AF44" s="120"/>
      <c r="AG44" s="120"/>
      <c r="AK44" s="403"/>
      <c r="AO44" s="131"/>
      <c r="AP44" s="211"/>
      <c r="AQ44" s="211"/>
      <c r="AR44" s="211"/>
    </row>
    <row r="45" spans="4:44" x14ac:dyDescent="0.25">
      <c r="D45" s="120"/>
      <c r="H45" s="120"/>
      <c r="L45" s="120"/>
      <c r="P45" s="120"/>
      <c r="T45" s="120"/>
      <c r="X45" s="120"/>
      <c r="AB45" s="120"/>
      <c r="AF45" s="120"/>
      <c r="AG45" s="120"/>
      <c r="AK45" s="403"/>
      <c r="AO45" s="212"/>
      <c r="AP45" s="212"/>
      <c r="AQ45" s="211"/>
      <c r="AR45" s="211"/>
    </row>
    <row r="46" spans="4:44" x14ac:dyDescent="0.25">
      <c r="D46" s="120"/>
      <c r="H46" s="120"/>
      <c r="L46" s="120"/>
      <c r="P46" s="120"/>
      <c r="T46" s="120"/>
      <c r="X46" s="120"/>
      <c r="AB46" s="120"/>
      <c r="AF46" s="120"/>
      <c r="AG46" s="120"/>
      <c r="AK46" s="403"/>
      <c r="AO46" s="212"/>
      <c r="AP46" s="212"/>
      <c r="AQ46" s="211"/>
      <c r="AR46" s="211"/>
    </row>
    <row r="47" spans="4:44" x14ac:dyDescent="0.25">
      <c r="D47" s="120"/>
      <c r="H47" s="120"/>
      <c r="L47" s="120"/>
      <c r="P47" s="120"/>
      <c r="T47" s="120"/>
      <c r="X47" s="120"/>
      <c r="AB47" s="120"/>
      <c r="AF47" s="120"/>
      <c r="AG47" s="120"/>
      <c r="AK47" s="403"/>
      <c r="AO47" s="212"/>
      <c r="AP47" s="212"/>
      <c r="AQ47" s="211"/>
      <c r="AR47" s="211"/>
    </row>
    <row r="48" spans="4:44" x14ac:dyDescent="0.25">
      <c r="D48" s="120"/>
      <c r="H48" s="120"/>
      <c r="L48" s="120"/>
      <c r="P48" s="120"/>
      <c r="T48" s="120"/>
      <c r="X48" s="120"/>
      <c r="AB48" s="120"/>
      <c r="AF48" s="120"/>
      <c r="AG48" s="120"/>
      <c r="AK48" s="403"/>
      <c r="AO48" s="212"/>
      <c r="AP48" s="212"/>
      <c r="AQ48" s="211"/>
      <c r="AR48" s="211"/>
    </row>
    <row r="49" spans="4:44" x14ac:dyDescent="0.25">
      <c r="D49" s="120"/>
      <c r="H49" s="120"/>
      <c r="L49" s="120"/>
      <c r="P49" s="120"/>
      <c r="T49" s="120"/>
      <c r="X49" s="120"/>
      <c r="AB49" s="120"/>
      <c r="AF49" s="120"/>
      <c r="AG49" s="120"/>
      <c r="AK49" s="403"/>
      <c r="AO49" s="212"/>
      <c r="AP49" s="212"/>
      <c r="AQ49" s="211"/>
      <c r="AR49" s="211"/>
    </row>
    <row r="50" spans="4:44" x14ac:dyDescent="0.25">
      <c r="D50" s="120"/>
      <c r="H50" s="120"/>
      <c r="L50" s="120"/>
      <c r="P50" s="120"/>
      <c r="T50" s="120"/>
      <c r="X50" s="120"/>
      <c r="AB50" s="120"/>
      <c r="AF50" s="120"/>
      <c r="AG50" s="120"/>
      <c r="AK50" s="403"/>
      <c r="AO50" s="212"/>
      <c r="AP50" s="212"/>
      <c r="AQ50" s="211"/>
      <c r="AR50" s="211"/>
    </row>
    <row r="51" spans="4:44" x14ac:dyDescent="0.25">
      <c r="D51" s="120"/>
      <c r="H51" s="120"/>
      <c r="L51" s="120"/>
      <c r="P51" s="120"/>
      <c r="T51" s="120"/>
      <c r="X51" s="120"/>
      <c r="AB51" s="120"/>
      <c r="AF51" s="120"/>
      <c r="AG51" s="120"/>
      <c r="AK51" s="403"/>
      <c r="AO51" s="212"/>
      <c r="AP51" s="212"/>
      <c r="AQ51" s="211"/>
      <c r="AR51" s="211"/>
    </row>
    <row r="52" spans="4:44" x14ac:dyDescent="0.25">
      <c r="D52" s="120"/>
      <c r="H52" s="120"/>
      <c r="L52" s="120"/>
      <c r="P52" s="120"/>
      <c r="T52" s="120"/>
      <c r="X52" s="120"/>
      <c r="AB52" s="120"/>
      <c r="AF52" s="120"/>
      <c r="AG52" s="120"/>
      <c r="AK52" s="403"/>
      <c r="AO52" s="212"/>
      <c r="AP52" s="212"/>
      <c r="AQ52" s="211"/>
      <c r="AR52" s="211"/>
    </row>
    <row r="53" spans="4:44" x14ac:dyDescent="0.25">
      <c r="D53" s="120"/>
      <c r="H53" s="120"/>
      <c r="L53" s="120"/>
      <c r="P53" s="120"/>
      <c r="T53" s="120"/>
      <c r="X53" s="120"/>
      <c r="AB53" s="120"/>
      <c r="AF53" s="120"/>
      <c r="AG53" s="120"/>
      <c r="AK53" s="403"/>
    </row>
    <row r="54" spans="4:44" x14ac:dyDescent="0.25">
      <c r="D54" s="120"/>
      <c r="H54" s="120"/>
      <c r="L54" s="120"/>
      <c r="P54" s="120"/>
      <c r="T54" s="120"/>
      <c r="X54" s="120"/>
      <c r="AB54" s="120"/>
      <c r="AF54" s="120"/>
      <c r="AG54" s="120"/>
      <c r="AK54" s="403"/>
    </row>
    <row r="55" spans="4:44" x14ac:dyDescent="0.25">
      <c r="D55" s="120"/>
      <c r="H55" s="120"/>
      <c r="L55" s="120"/>
      <c r="P55" s="120"/>
      <c r="T55" s="120"/>
      <c r="X55" s="120"/>
      <c r="AB55" s="120"/>
      <c r="AF55" s="120"/>
      <c r="AG55" s="120"/>
      <c r="AK55" s="403"/>
    </row>
    <row r="56" spans="4:44" x14ac:dyDescent="0.25">
      <c r="D56" s="120"/>
      <c r="H56" s="120"/>
      <c r="L56" s="120"/>
      <c r="P56" s="120"/>
      <c r="T56" s="120"/>
      <c r="X56" s="120"/>
      <c r="AB56" s="120"/>
      <c r="AF56" s="120"/>
      <c r="AG56" s="120"/>
      <c r="AK56" s="403"/>
    </row>
    <row r="57" spans="4:44" x14ac:dyDescent="0.25">
      <c r="D57" s="120"/>
      <c r="H57" s="120"/>
      <c r="L57" s="120"/>
      <c r="P57" s="120"/>
      <c r="T57" s="120"/>
      <c r="X57" s="120"/>
      <c r="AB57" s="120"/>
      <c r="AF57" s="120"/>
      <c r="AG57" s="120"/>
      <c r="AK57" s="403"/>
    </row>
    <row r="58" spans="4:44" x14ac:dyDescent="0.25">
      <c r="D58" s="120"/>
      <c r="H58" s="120"/>
      <c r="L58" s="120"/>
      <c r="P58" s="120"/>
      <c r="T58" s="120"/>
      <c r="X58" s="120"/>
      <c r="AB58" s="120"/>
      <c r="AF58" s="120"/>
      <c r="AG58" s="120"/>
      <c r="AK58" s="403"/>
    </row>
    <row r="59" spans="4:44" x14ac:dyDescent="0.25">
      <c r="D59" s="120"/>
      <c r="H59" s="120"/>
      <c r="L59" s="120"/>
      <c r="P59" s="120"/>
      <c r="T59" s="120"/>
      <c r="X59" s="120"/>
      <c r="AB59" s="120"/>
      <c r="AF59" s="120"/>
      <c r="AG59" s="120"/>
      <c r="AK59" s="403"/>
    </row>
    <row r="60" spans="4:44" x14ac:dyDescent="0.25">
      <c r="D60" s="120"/>
      <c r="H60" s="120"/>
      <c r="L60" s="120"/>
      <c r="P60" s="120"/>
      <c r="T60" s="120"/>
      <c r="X60" s="120"/>
      <c r="AB60" s="120"/>
      <c r="AF60" s="120"/>
      <c r="AG60" s="120"/>
      <c r="AK60" s="403"/>
    </row>
    <row r="61" spans="4:44" x14ac:dyDescent="0.25">
      <c r="D61" s="120"/>
      <c r="H61" s="120"/>
      <c r="L61" s="120"/>
      <c r="P61" s="120"/>
      <c r="T61" s="120"/>
      <c r="X61" s="120"/>
      <c r="AB61" s="120"/>
      <c r="AF61" s="120"/>
      <c r="AG61" s="120"/>
      <c r="AK61" s="403"/>
    </row>
    <row r="62" spans="4:44" x14ac:dyDescent="0.25">
      <c r="D62" s="120"/>
      <c r="H62" s="120"/>
      <c r="L62" s="120"/>
      <c r="P62" s="120"/>
      <c r="T62" s="120"/>
      <c r="X62" s="120"/>
      <c r="AB62" s="120"/>
      <c r="AF62" s="120"/>
      <c r="AG62" s="120"/>
      <c r="AK62" s="403"/>
    </row>
    <row r="63" spans="4:44" x14ac:dyDescent="0.25">
      <c r="D63" s="120"/>
      <c r="H63" s="120"/>
      <c r="L63" s="120"/>
      <c r="P63" s="120"/>
      <c r="T63" s="120"/>
      <c r="X63" s="120"/>
      <c r="AB63" s="120"/>
      <c r="AF63" s="120"/>
      <c r="AG63" s="120"/>
      <c r="AK63" s="403"/>
    </row>
    <row r="64" spans="4:44"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403" t="s">
        <v>1511</v>
      </c>
      <c r="E126" s="211">
        <v>30.35</v>
      </c>
      <c r="F126" s="211">
        <v>25</v>
      </c>
      <c r="G126" s="394"/>
      <c r="H126" s="403"/>
      <c r="I126" s="394"/>
      <c r="J126" s="394"/>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2" orientation="landscape" r:id="rId1"/>
  <headerFooter alignWithMargins="0">
    <oddHeader>&amp;C&amp;"-,Bold"Proposed Budget &amp; Analysis Report for FY20</oddHeader>
    <oddFooter>&amp;C&amp;D&amp;T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3:BA385"/>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0.5703125" style="161" customWidth="1"/>
    <col min="4" max="5" width="11.5703125" style="211" hidden="1" customWidth="1"/>
    <col min="6" max="6" width="8.28515625" style="211" hidden="1" customWidth="1"/>
    <col min="7" max="7" width="1.85546875" style="213" hidden="1" customWidth="1"/>
    <col min="8" max="9" width="11.5703125" style="211" hidden="1" customWidth="1"/>
    <col min="10" max="10" width="8.28515625" style="211" hidden="1" customWidth="1"/>
    <col min="11" max="11" width="1.85546875" style="213" hidden="1" customWidth="1"/>
    <col min="12" max="13" width="11.5703125" style="211" hidden="1" customWidth="1"/>
    <col min="14" max="14" width="8.28515625" style="211" hidden="1" customWidth="1"/>
    <col min="15" max="15" width="1.85546875" style="213" hidden="1" customWidth="1"/>
    <col min="16" max="17" width="11.5703125" style="211" hidden="1" customWidth="1"/>
    <col min="18" max="18" width="8.28515625" style="211" hidden="1" customWidth="1"/>
    <col min="19" max="19" width="1.85546875" style="213" hidden="1" customWidth="1"/>
    <col min="20" max="21" width="11.5703125" style="161" hidden="1" customWidth="1"/>
    <col min="22" max="22" width="8.28515625" style="161" hidden="1" customWidth="1"/>
    <col min="23" max="23" width="1.85546875" style="103" hidden="1" customWidth="1"/>
    <col min="24" max="24" width="10.5703125" style="161" hidden="1" customWidth="1"/>
    <col min="25" max="25" width="11.7109375" style="161" hidden="1" customWidth="1"/>
    <col min="26" max="26" width="8.5703125" style="161" hidden="1" customWidth="1"/>
    <col min="27" max="27" width="1.85546875" style="103" hidden="1" customWidth="1"/>
    <col min="28" max="28" width="10.5703125" style="161" customWidth="1"/>
    <col min="29" max="29" width="11.7109375" style="161" customWidth="1"/>
    <col min="30" max="30" width="9.28515625" style="161" bestFit="1" customWidth="1"/>
    <col min="31" max="31" width="1.85546875" style="213" customWidth="1"/>
    <col min="32" max="32" width="10.5703125" style="211" hidden="1" customWidth="1"/>
    <col min="33" max="33" width="10.5703125" style="211" customWidth="1"/>
    <col min="34" max="34" width="11.7109375" style="211" customWidth="1"/>
    <col min="35" max="35" width="9.28515625" style="211" bestFit="1" customWidth="1"/>
    <col min="36" max="36" width="1.85546875" style="161" customWidth="1"/>
    <col min="37" max="37" width="10.5703125" style="394" customWidth="1"/>
    <col min="38" max="38" width="11.7109375" style="394" customWidth="1"/>
    <col min="39" max="39" width="9.28515625" style="394" bestFit="1" customWidth="1"/>
    <col min="40" max="40" width="1.85546875" style="397" customWidth="1"/>
    <col min="41" max="41" width="12.7109375" style="104" customWidth="1"/>
    <col min="42" max="42" width="11.140625" style="104" customWidth="1"/>
    <col min="43" max="43" width="11.5703125" style="161" customWidth="1"/>
    <col min="44" max="44" width="37.1406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1885</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03"/>
      <c r="AP5" s="103"/>
      <c r="AR5" s="111"/>
    </row>
    <row r="6" spans="1:44" s="211" customFormat="1" x14ac:dyDescent="0.25">
      <c r="A6" s="211" t="s">
        <v>738</v>
      </c>
      <c r="B6" s="214" t="str">
        <f>MID(A6,14,4)</f>
        <v>5138</v>
      </c>
      <c r="C6" s="211" t="s">
        <v>1882</v>
      </c>
      <c r="D6" s="245">
        <v>36394.33</v>
      </c>
      <c r="E6" s="245">
        <v>36394.33</v>
      </c>
      <c r="F6" s="216"/>
      <c r="G6" s="213"/>
      <c r="H6" s="245">
        <v>38524</v>
      </c>
      <c r="I6" s="245">
        <v>38277.599999999999</v>
      </c>
      <c r="J6" s="216"/>
      <c r="K6" s="213"/>
      <c r="L6" s="245">
        <v>41044.86</v>
      </c>
      <c r="M6" s="245">
        <v>40966.239999999998</v>
      </c>
      <c r="N6" s="216"/>
      <c r="O6" s="213"/>
      <c r="P6" s="245">
        <v>43472.160000000003</v>
      </c>
      <c r="Q6" s="245">
        <v>43305.599999999999</v>
      </c>
      <c r="R6" s="216"/>
      <c r="S6" s="213"/>
      <c r="T6" s="245">
        <v>45711.54</v>
      </c>
      <c r="U6" s="245">
        <v>45790.61</v>
      </c>
      <c r="V6" s="216"/>
      <c r="W6" s="213"/>
      <c r="X6" s="245">
        <v>56102.06</v>
      </c>
      <c r="Y6" s="245">
        <v>56132.69</v>
      </c>
      <c r="Z6" s="216">
        <v>0.22730627758329727</v>
      </c>
      <c r="AA6" s="213"/>
      <c r="AB6" s="245">
        <v>58372.65</v>
      </c>
      <c r="AC6" s="245">
        <v>58372.66</v>
      </c>
      <c r="AD6" s="216">
        <f>(AB6-X6)/X6</f>
        <v>4.0472488888999868E-2</v>
      </c>
      <c r="AE6" s="213"/>
      <c r="AF6" s="163">
        <v>61131.42</v>
      </c>
      <c r="AG6" s="380">
        <v>64620.99</v>
      </c>
      <c r="AH6" s="245">
        <v>62123.68</v>
      </c>
      <c r="AI6" s="216">
        <f>(AG6-AB6)/AB6</f>
        <v>0.1070422535211267</v>
      </c>
      <c r="AJ6" s="216"/>
      <c r="AK6" s="398">
        <v>65845.08</v>
      </c>
      <c r="AL6" s="398">
        <v>31535</v>
      </c>
      <c r="AM6" s="396">
        <f>(AK6-AG6)/AG6</f>
        <v>1.8942606728866329E-2</v>
      </c>
      <c r="AN6" s="397"/>
      <c r="AO6" s="163">
        <f>'FY20 Payroll Schedule'!J106</f>
        <v>67288.41</v>
      </c>
      <c r="AP6" s="212">
        <f>AO6-AK6</f>
        <v>1443.3300000000017</v>
      </c>
      <c r="AQ6" s="396">
        <f>AP6/AK6</f>
        <v>2.1920088790233102E-2</v>
      </c>
      <c r="AR6" s="288" t="s">
        <v>1404</v>
      </c>
    </row>
    <row r="7" spans="1:44" s="211" customFormat="1" x14ac:dyDescent="0.25">
      <c r="A7" s="214" t="s">
        <v>1408</v>
      </c>
      <c r="B7" s="214" t="str">
        <f>MID(A7,14,4)</f>
        <v>5142</v>
      </c>
      <c r="C7" s="211" t="s">
        <v>1455</v>
      </c>
      <c r="D7" s="245">
        <v>0</v>
      </c>
      <c r="E7" s="245">
        <v>0</v>
      </c>
      <c r="F7" s="216"/>
      <c r="G7" s="213"/>
      <c r="H7" s="245">
        <v>0</v>
      </c>
      <c r="I7" s="245">
        <v>0</v>
      </c>
      <c r="J7" s="216"/>
      <c r="K7" s="213"/>
      <c r="L7" s="245">
        <v>0</v>
      </c>
      <c r="M7" s="245">
        <v>0</v>
      </c>
      <c r="N7" s="216"/>
      <c r="O7" s="213"/>
      <c r="P7" s="245">
        <v>0</v>
      </c>
      <c r="Q7" s="245">
        <v>0</v>
      </c>
      <c r="R7" s="216"/>
      <c r="S7" s="213"/>
      <c r="T7" s="245">
        <v>0</v>
      </c>
      <c r="U7" s="245">
        <v>0</v>
      </c>
      <c r="V7" s="216"/>
      <c r="W7" s="213"/>
      <c r="X7" s="245">
        <v>0</v>
      </c>
      <c r="Y7" s="245">
        <v>0</v>
      </c>
      <c r="Z7" s="216" t="e">
        <v>#DIV/0!</v>
      </c>
      <c r="AA7" s="213"/>
      <c r="AB7" s="245">
        <v>0</v>
      </c>
      <c r="AC7" s="245">
        <v>0</v>
      </c>
      <c r="AD7" s="216" t="e">
        <f>(AB7-X7)/X7</f>
        <v>#DIV/0!</v>
      </c>
      <c r="AE7" s="213"/>
      <c r="AF7" s="163"/>
      <c r="AG7" s="380"/>
      <c r="AH7" s="245"/>
      <c r="AI7" s="216" t="e">
        <f>(AG7-AB7)/AB7</f>
        <v>#DIV/0!</v>
      </c>
      <c r="AJ7" s="216"/>
      <c r="AK7" s="398">
        <v>658.45</v>
      </c>
      <c r="AL7" s="398">
        <v>658.45</v>
      </c>
      <c r="AM7" s="396" t="e">
        <f>(AK7-AG7)/AG7</f>
        <v>#DIV/0!</v>
      </c>
      <c r="AN7" s="397"/>
      <c r="AO7" s="163">
        <f>'FY20 Payroll Schedule'!K106</f>
        <v>672.8841000000001</v>
      </c>
      <c r="AP7" s="399">
        <f>AO7-AK7</f>
        <v>14.434100000000058</v>
      </c>
      <c r="AQ7" s="396">
        <f>AP7/AK7</f>
        <v>2.1921330397144896E-2</v>
      </c>
      <c r="AR7" s="457">
        <v>0.01</v>
      </c>
    </row>
    <row r="8" spans="1:44" s="211" customFormat="1" x14ac:dyDescent="0.25">
      <c r="A8" s="211" t="s">
        <v>737</v>
      </c>
      <c r="B8" s="214" t="str">
        <f>MID(A8,14,4)</f>
        <v>5101</v>
      </c>
      <c r="C8" s="211" t="s">
        <v>1340</v>
      </c>
      <c r="D8" s="245">
        <v>1500</v>
      </c>
      <c r="E8" s="245">
        <v>1500</v>
      </c>
      <c r="F8" s="216"/>
      <c r="G8" s="213"/>
      <c r="H8" s="245">
        <v>1500</v>
      </c>
      <c r="I8" s="245">
        <v>1500</v>
      </c>
      <c r="J8" s="216"/>
      <c r="K8" s="213"/>
      <c r="L8" s="245">
        <v>1500</v>
      </c>
      <c r="M8" s="245">
        <v>1500</v>
      </c>
      <c r="N8" s="216"/>
      <c r="O8" s="213"/>
      <c r="P8" s="245">
        <v>1500</v>
      </c>
      <c r="Q8" s="245">
        <v>1500</v>
      </c>
      <c r="R8" s="216"/>
      <c r="S8" s="213"/>
      <c r="T8" s="245">
        <v>1500</v>
      </c>
      <c r="U8" s="245">
        <v>1500</v>
      </c>
      <c r="V8" s="216"/>
      <c r="W8" s="213"/>
      <c r="X8" s="245">
        <v>1500</v>
      </c>
      <c r="Y8" s="245">
        <v>1500</v>
      </c>
      <c r="Z8" s="216">
        <v>0</v>
      </c>
      <c r="AA8" s="213"/>
      <c r="AB8" s="245">
        <v>1500</v>
      </c>
      <c r="AC8" s="245">
        <v>1500</v>
      </c>
      <c r="AD8" s="216">
        <f>(AB8-X8)/X8</f>
        <v>0</v>
      </c>
      <c r="AE8" s="213"/>
      <c r="AF8" s="163">
        <v>1500</v>
      </c>
      <c r="AG8" s="380">
        <v>1500</v>
      </c>
      <c r="AH8" s="245">
        <v>1500</v>
      </c>
      <c r="AI8" s="216">
        <f t="shared" ref="AI8:AI28" si="0">(AG8-AB8)/AB8</f>
        <v>0</v>
      </c>
      <c r="AJ8" s="216"/>
      <c r="AK8" s="398">
        <v>1500</v>
      </c>
      <c r="AL8" s="398">
        <v>750</v>
      </c>
      <c r="AM8" s="396">
        <f>(AK8-AG8)/AG8</f>
        <v>0</v>
      </c>
      <c r="AN8" s="397"/>
      <c r="AO8" s="408">
        <v>1500</v>
      </c>
      <c r="AP8" s="399">
        <f>AO8-AK8</f>
        <v>0</v>
      </c>
      <c r="AQ8" s="396">
        <f>AP8/AK8</f>
        <v>0</v>
      </c>
      <c r="AR8" s="288" t="s">
        <v>335</v>
      </c>
    </row>
    <row r="9" spans="1:44" s="114" customFormat="1" x14ac:dyDescent="0.25">
      <c r="A9" s="224"/>
      <c r="B9" s="224"/>
      <c r="C9" s="224" t="s">
        <v>26</v>
      </c>
      <c r="D9" s="225">
        <f>SUM(D6:D8)</f>
        <v>37894.33</v>
      </c>
      <c r="E9" s="225">
        <f>SUM(E6:E8)</f>
        <v>37894.33</v>
      </c>
      <c r="F9" s="226">
        <v>6.3E-2</v>
      </c>
      <c r="G9" s="224"/>
      <c r="H9" s="225">
        <f>SUM(H6:H8)</f>
        <v>40024</v>
      </c>
      <c r="I9" s="225">
        <f>SUM(I6:I8)</f>
        <v>39777.599999999999</v>
      </c>
      <c r="J9" s="226">
        <v>6.3E-2</v>
      </c>
      <c r="K9" s="224"/>
      <c r="L9" s="225">
        <f>SUM(L6:L8)</f>
        <v>42544.86</v>
      </c>
      <c r="M9" s="225">
        <f>SUM(M6:M8)</f>
        <v>42466.239999999998</v>
      </c>
      <c r="N9" s="226">
        <v>6.3E-2</v>
      </c>
      <c r="O9" s="224"/>
      <c r="P9" s="225">
        <f>SUM(P6:P8)</f>
        <v>44972.160000000003</v>
      </c>
      <c r="Q9" s="225">
        <f>SUM(Q6:Q8)</f>
        <v>44805.599999999999</v>
      </c>
      <c r="R9" s="226">
        <v>6.3E-2</v>
      </c>
      <c r="S9" s="224"/>
      <c r="T9" s="225">
        <f>SUM(T6:T8)</f>
        <v>47211.54</v>
      </c>
      <c r="U9" s="225">
        <f>SUM(U6:U8)</f>
        <v>47290.61</v>
      </c>
      <c r="V9" s="226">
        <v>6.3E-2</v>
      </c>
      <c r="W9" s="224"/>
      <c r="X9" s="225">
        <f>SUM(X6:X8)</f>
        <v>57602.06</v>
      </c>
      <c r="Y9" s="225">
        <f>SUM(Y6:Y8)</f>
        <v>57632.69</v>
      </c>
      <c r="Z9" s="226">
        <f>(X9-T9)/T9</f>
        <v>0.2200843268404292</v>
      </c>
      <c r="AA9" s="224"/>
      <c r="AB9" s="225">
        <f>SUM(AB6:AB8)</f>
        <v>59872.65</v>
      </c>
      <c r="AC9" s="225">
        <f>SUM(AC6:AC8)</f>
        <v>59872.66</v>
      </c>
      <c r="AD9" s="226">
        <f>(AB9-X9)/X9</f>
        <v>3.9418555516938174E-2</v>
      </c>
      <c r="AE9" s="224"/>
      <c r="AF9" s="227">
        <f>SUM(AF6:AF8)</f>
        <v>62631.42</v>
      </c>
      <c r="AG9" s="381">
        <f>SUM(AG6:AG8)</f>
        <v>66120.989999999991</v>
      </c>
      <c r="AH9" s="225">
        <f>SUM(AH6:AH8)</f>
        <v>63623.68</v>
      </c>
      <c r="AI9" s="226">
        <f t="shared" si="0"/>
        <v>0.10436050517222788</v>
      </c>
      <c r="AJ9" s="226"/>
      <c r="AK9" s="225">
        <f>SUM(AK6:AK8)</f>
        <v>68003.53</v>
      </c>
      <c r="AL9" s="225">
        <f>SUM(AL6:AL8)</f>
        <v>32943.449999999997</v>
      </c>
      <c r="AM9" s="226">
        <f>(AK9-AG9)/AG9</f>
        <v>2.8471140556123077E-2</v>
      </c>
      <c r="AN9" s="224"/>
      <c r="AO9" s="227">
        <f>SUM(AO6:AO8)</f>
        <v>69461.294099999999</v>
      </c>
      <c r="AP9" s="227">
        <f>SUM(AP6:AP8)</f>
        <v>1457.7641000000017</v>
      </c>
      <c r="AQ9" s="226">
        <f>AP9/AK9</f>
        <v>2.143659454148927E-2</v>
      </c>
      <c r="AR9" s="224"/>
    </row>
    <row r="10" spans="1:44" x14ac:dyDescent="0.25">
      <c r="D10" s="112"/>
      <c r="E10" s="245"/>
      <c r="F10" s="216"/>
      <c r="H10" s="112"/>
      <c r="I10" s="245"/>
      <c r="J10" s="216"/>
      <c r="L10" s="112"/>
      <c r="M10" s="245"/>
      <c r="N10" s="216"/>
      <c r="P10" s="112"/>
      <c r="Q10" s="245"/>
      <c r="R10" s="216"/>
      <c r="T10" s="112"/>
      <c r="U10" s="162"/>
      <c r="V10" s="80"/>
      <c r="X10" s="112"/>
      <c r="Y10" s="162"/>
      <c r="Z10" s="80"/>
      <c r="AB10" s="112"/>
      <c r="AC10" s="162"/>
      <c r="AD10" s="80"/>
      <c r="AF10" s="212"/>
      <c r="AG10" s="212"/>
      <c r="AH10" s="245"/>
      <c r="AI10" s="216"/>
      <c r="AJ10" s="80"/>
      <c r="AK10" s="112"/>
      <c r="AL10" s="398"/>
      <c r="AM10" s="396"/>
      <c r="AQ10" s="216"/>
    </row>
    <row r="11" spans="1:44" x14ac:dyDescent="0.25">
      <c r="C11" s="111" t="s">
        <v>277</v>
      </c>
      <c r="D11" s="112"/>
      <c r="E11" s="112"/>
      <c r="F11" s="216"/>
      <c r="H11" s="112"/>
      <c r="I11" s="112"/>
      <c r="J11" s="216"/>
      <c r="L11" s="112"/>
      <c r="M11" s="112"/>
      <c r="N11" s="216"/>
      <c r="P11" s="112"/>
      <c r="Q11" s="112"/>
      <c r="R11" s="216"/>
      <c r="T11" s="112"/>
      <c r="U11" s="112"/>
      <c r="V11" s="80"/>
      <c r="X11" s="112"/>
      <c r="Y11" s="112"/>
      <c r="Z11" s="80"/>
      <c r="AB11" s="112"/>
      <c r="AC11" s="112"/>
      <c r="AD11" s="80"/>
      <c r="AF11" s="212"/>
      <c r="AG11" s="212"/>
      <c r="AH11" s="112"/>
      <c r="AI11" s="216"/>
      <c r="AJ11" s="80"/>
      <c r="AK11" s="112"/>
      <c r="AL11" s="112"/>
      <c r="AM11" s="396"/>
      <c r="AQ11" s="216"/>
      <c r="AR11" s="111"/>
    </row>
    <row r="12" spans="1:44" s="211" customFormat="1" x14ac:dyDescent="0.25">
      <c r="A12" s="211" t="s">
        <v>739</v>
      </c>
      <c r="B12" s="214" t="str">
        <f t="shared" ref="B12:B25" si="1">MID(A12,14,4)</f>
        <v>5296</v>
      </c>
      <c r="C12" s="211" t="s">
        <v>1782</v>
      </c>
      <c r="D12" s="245">
        <v>960</v>
      </c>
      <c r="E12" s="245">
        <v>825</v>
      </c>
      <c r="F12" s="216"/>
      <c r="G12" s="213"/>
      <c r="H12" s="245">
        <v>960</v>
      </c>
      <c r="I12" s="245">
        <v>825</v>
      </c>
      <c r="J12" s="216"/>
      <c r="K12" s="213"/>
      <c r="L12" s="245">
        <v>500</v>
      </c>
      <c r="M12" s="245">
        <v>825</v>
      </c>
      <c r="N12" s="216"/>
      <c r="O12" s="213"/>
      <c r="P12" s="245">
        <v>500</v>
      </c>
      <c r="Q12" s="245">
        <v>525</v>
      </c>
      <c r="R12" s="216"/>
      <c r="S12" s="213"/>
      <c r="T12" s="245">
        <v>1000</v>
      </c>
      <c r="U12" s="245">
        <v>962.5</v>
      </c>
      <c r="V12" s="216"/>
      <c r="W12" s="213"/>
      <c r="X12" s="245">
        <v>1110</v>
      </c>
      <c r="Y12" s="245">
        <v>962.5</v>
      </c>
      <c r="Z12" s="216">
        <v>0.11</v>
      </c>
      <c r="AA12" s="213"/>
      <c r="AB12" s="245">
        <v>1110</v>
      </c>
      <c r="AC12" s="245">
        <v>962.5</v>
      </c>
      <c r="AD12" s="216">
        <f t="shared" ref="AD12:AD25" si="2">(AB12-X12)/X12</f>
        <v>0</v>
      </c>
      <c r="AE12" s="213"/>
      <c r="AF12" s="245">
        <v>1110</v>
      </c>
      <c r="AG12" s="245">
        <v>1110</v>
      </c>
      <c r="AH12" s="245">
        <v>1350</v>
      </c>
      <c r="AI12" s="216">
        <f t="shared" si="0"/>
        <v>0</v>
      </c>
      <c r="AJ12" s="216"/>
      <c r="AK12" s="398">
        <v>1110</v>
      </c>
      <c r="AL12" s="398">
        <v>0</v>
      </c>
      <c r="AM12" s="396">
        <f>(AK12-AG12)/AG12</f>
        <v>0</v>
      </c>
      <c r="AN12" s="397"/>
      <c r="AO12" s="163">
        <v>1110</v>
      </c>
      <c r="AP12" s="399">
        <f t="shared" ref="AP12:AP25" si="3">AO12-AK12</f>
        <v>0</v>
      </c>
      <c r="AQ12" s="396">
        <f t="shared" ref="AQ12:AQ24" si="4">AP12/AK12</f>
        <v>0</v>
      </c>
      <c r="AR12" s="246" t="s">
        <v>1076</v>
      </c>
    </row>
    <row r="13" spans="1:44" s="394" customFormat="1" x14ac:dyDescent="0.25">
      <c r="A13" s="395" t="s">
        <v>1498</v>
      </c>
      <c r="B13" s="395" t="str">
        <f>MID(A13,14,4)</f>
        <v>5298</v>
      </c>
      <c r="C13" s="394" t="s">
        <v>1499</v>
      </c>
      <c r="D13" s="398"/>
      <c r="E13" s="398"/>
      <c r="F13" s="396"/>
      <c r="G13" s="397"/>
      <c r="H13" s="398"/>
      <c r="I13" s="398"/>
      <c r="J13" s="396"/>
      <c r="K13" s="397"/>
      <c r="L13" s="398"/>
      <c r="M13" s="398"/>
      <c r="N13" s="396"/>
      <c r="O13" s="397"/>
      <c r="P13" s="398"/>
      <c r="Q13" s="398"/>
      <c r="R13" s="396"/>
      <c r="S13" s="397"/>
      <c r="T13" s="398"/>
      <c r="U13" s="398"/>
      <c r="V13" s="396"/>
      <c r="W13" s="397"/>
      <c r="X13" s="398"/>
      <c r="Y13" s="398"/>
      <c r="Z13" s="396"/>
      <c r="AA13" s="397"/>
      <c r="AB13" s="398"/>
      <c r="AC13" s="398"/>
      <c r="AD13" s="396"/>
      <c r="AE13" s="397"/>
      <c r="AF13" s="398"/>
      <c r="AG13" s="398"/>
      <c r="AH13" s="398">
        <v>12</v>
      </c>
      <c r="AI13" s="396"/>
      <c r="AJ13" s="396"/>
      <c r="AK13" s="398"/>
      <c r="AL13" s="398"/>
      <c r="AM13" s="396"/>
      <c r="AN13" s="397"/>
      <c r="AO13" s="163"/>
      <c r="AP13" s="399">
        <f t="shared" si="3"/>
        <v>0</v>
      </c>
      <c r="AQ13" s="396" t="e">
        <f t="shared" si="4"/>
        <v>#DIV/0!</v>
      </c>
      <c r="AR13" s="400"/>
    </row>
    <row r="14" spans="1:44" ht="14.25" x14ac:dyDescent="0.3">
      <c r="A14" s="161" t="s">
        <v>740</v>
      </c>
      <c r="B14" s="119" t="str">
        <f t="shared" si="1"/>
        <v>5301</v>
      </c>
      <c r="C14" s="161" t="s">
        <v>1790</v>
      </c>
      <c r="D14" s="245">
        <v>1390.67</v>
      </c>
      <c r="E14" s="245">
        <v>150</v>
      </c>
      <c r="F14" s="216"/>
      <c r="H14" s="245">
        <v>1500</v>
      </c>
      <c r="I14" s="245">
        <v>0</v>
      </c>
      <c r="J14" s="216"/>
      <c r="L14" s="245">
        <v>1500</v>
      </c>
      <c r="M14" s="245">
        <v>63</v>
      </c>
      <c r="N14" s="216"/>
      <c r="P14" s="245">
        <v>1500</v>
      </c>
      <c r="Q14" s="245">
        <v>1114</v>
      </c>
      <c r="R14" s="216"/>
      <c r="T14" s="245">
        <v>1000</v>
      </c>
      <c r="U14" s="245">
        <v>930.82</v>
      </c>
      <c r="V14" s="216"/>
      <c r="W14" s="213"/>
      <c r="X14" s="245">
        <v>700</v>
      </c>
      <c r="Y14" s="245">
        <v>750</v>
      </c>
      <c r="Z14" s="216">
        <v>-0.3</v>
      </c>
      <c r="AA14" s="213"/>
      <c r="AB14" s="245">
        <v>700</v>
      </c>
      <c r="AC14" s="245">
        <v>750</v>
      </c>
      <c r="AD14" s="216">
        <f t="shared" si="2"/>
        <v>0</v>
      </c>
      <c r="AF14" s="245">
        <v>700</v>
      </c>
      <c r="AG14" s="245">
        <v>700</v>
      </c>
      <c r="AH14" s="245">
        <v>750</v>
      </c>
      <c r="AI14" s="216">
        <f t="shared" si="0"/>
        <v>0</v>
      </c>
      <c r="AJ14" s="80"/>
      <c r="AK14" s="398">
        <v>700</v>
      </c>
      <c r="AL14" s="398">
        <v>375</v>
      </c>
      <c r="AM14" s="396">
        <f>(AK14-AG14)/AG14</f>
        <v>0</v>
      </c>
      <c r="AO14" s="164">
        <v>750</v>
      </c>
      <c r="AP14" s="399">
        <f t="shared" si="3"/>
        <v>50</v>
      </c>
      <c r="AQ14" s="396">
        <f t="shared" si="4"/>
        <v>7.1428571428571425E-2</v>
      </c>
      <c r="AR14" s="156"/>
    </row>
    <row r="15" spans="1:44" ht="14.25" x14ac:dyDescent="0.3">
      <c r="A15" s="161" t="s">
        <v>741</v>
      </c>
      <c r="B15" s="119" t="str">
        <f t="shared" si="1"/>
        <v>5303</v>
      </c>
      <c r="C15" s="161" t="s">
        <v>1495</v>
      </c>
      <c r="D15" s="245">
        <v>1500</v>
      </c>
      <c r="E15" s="245">
        <v>1507.79</v>
      </c>
      <c r="F15" s="216"/>
      <c r="H15" s="245">
        <v>1500</v>
      </c>
      <c r="I15" s="245">
        <v>1236.32</v>
      </c>
      <c r="J15" s="216"/>
      <c r="L15" s="245">
        <v>800</v>
      </c>
      <c r="M15" s="245">
        <v>1205.0999999999999</v>
      </c>
      <c r="N15" s="216"/>
      <c r="P15" s="245">
        <v>800</v>
      </c>
      <c r="Q15" s="245">
        <v>427</v>
      </c>
      <c r="R15" s="216"/>
      <c r="T15" s="245">
        <v>800</v>
      </c>
      <c r="U15" s="245">
        <v>406</v>
      </c>
      <c r="V15" s="216"/>
      <c r="W15" s="213"/>
      <c r="X15" s="245">
        <v>800</v>
      </c>
      <c r="Y15" s="245">
        <v>597</v>
      </c>
      <c r="Z15" s="216">
        <v>0</v>
      </c>
      <c r="AA15" s="213"/>
      <c r="AB15" s="245">
        <v>800</v>
      </c>
      <c r="AC15" s="245">
        <v>890</v>
      </c>
      <c r="AD15" s="216">
        <f t="shared" si="2"/>
        <v>0</v>
      </c>
      <c r="AF15" s="245">
        <v>800</v>
      </c>
      <c r="AG15" s="245">
        <v>800</v>
      </c>
      <c r="AH15" s="245">
        <v>772.75</v>
      </c>
      <c r="AI15" s="216">
        <f t="shared" si="0"/>
        <v>0</v>
      </c>
      <c r="AJ15" s="80"/>
      <c r="AK15" s="398">
        <v>800</v>
      </c>
      <c r="AL15" s="398">
        <v>380</v>
      </c>
      <c r="AM15" s="396">
        <f>(AK15-AG15)/AG15</f>
        <v>0</v>
      </c>
      <c r="AO15" s="164">
        <v>800</v>
      </c>
      <c r="AP15" s="399">
        <f t="shared" si="3"/>
        <v>0</v>
      </c>
      <c r="AQ15" s="396">
        <f t="shared" si="4"/>
        <v>0</v>
      </c>
      <c r="AR15" s="156"/>
    </row>
    <row r="16" spans="1:44" ht="14.25" x14ac:dyDescent="0.3">
      <c r="A16" s="161" t="s">
        <v>742</v>
      </c>
      <c r="B16" s="119" t="str">
        <f t="shared" si="1"/>
        <v>5306</v>
      </c>
      <c r="C16" s="161" t="s">
        <v>1599</v>
      </c>
      <c r="D16" s="245">
        <v>200</v>
      </c>
      <c r="E16" s="245">
        <v>0</v>
      </c>
      <c r="F16" s="216"/>
      <c r="H16" s="245">
        <v>200</v>
      </c>
      <c r="I16" s="245">
        <v>301.75</v>
      </c>
      <c r="J16" s="216"/>
      <c r="L16" s="245">
        <v>200</v>
      </c>
      <c r="M16" s="245">
        <v>35</v>
      </c>
      <c r="N16" s="216"/>
      <c r="P16" s="245">
        <v>200</v>
      </c>
      <c r="Q16" s="245">
        <v>220.95</v>
      </c>
      <c r="R16" s="216"/>
      <c r="T16" s="245">
        <v>200</v>
      </c>
      <c r="U16" s="245">
        <v>85.9</v>
      </c>
      <c r="V16" s="216"/>
      <c r="W16" s="213"/>
      <c r="X16" s="245">
        <v>200</v>
      </c>
      <c r="Y16" s="245">
        <v>75.75</v>
      </c>
      <c r="Z16" s="216">
        <v>0</v>
      </c>
      <c r="AA16" s="213"/>
      <c r="AB16" s="245">
        <v>200</v>
      </c>
      <c r="AC16" s="245">
        <v>261.79000000000002</v>
      </c>
      <c r="AD16" s="216">
        <f t="shared" si="2"/>
        <v>0</v>
      </c>
      <c r="AF16" s="245">
        <v>200</v>
      </c>
      <c r="AG16" s="245">
        <v>200</v>
      </c>
      <c r="AH16" s="245">
        <v>227.84</v>
      </c>
      <c r="AI16" s="216">
        <f t="shared" si="0"/>
        <v>0</v>
      </c>
      <c r="AJ16" s="80"/>
      <c r="AK16" s="398">
        <v>200</v>
      </c>
      <c r="AL16" s="398">
        <v>951.1</v>
      </c>
      <c r="AM16" s="396">
        <f>(AK16-AG16)/AG16</f>
        <v>0</v>
      </c>
      <c r="AO16" s="164">
        <v>200</v>
      </c>
      <c r="AP16" s="399">
        <f t="shared" si="3"/>
        <v>0</v>
      </c>
      <c r="AQ16" s="396">
        <f t="shared" si="4"/>
        <v>0</v>
      </c>
      <c r="AR16" s="156"/>
    </row>
    <row r="17" spans="1:53" ht="14.25" x14ac:dyDescent="0.3">
      <c r="A17" s="119" t="s">
        <v>989</v>
      </c>
      <c r="B17" s="119">
        <v>5308</v>
      </c>
      <c r="C17" s="161" t="s">
        <v>1883</v>
      </c>
      <c r="D17" s="245">
        <v>0</v>
      </c>
      <c r="E17" s="245">
        <v>0</v>
      </c>
      <c r="F17" s="216"/>
      <c r="H17" s="245">
        <v>0</v>
      </c>
      <c r="I17" s="245">
        <v>0</v>
      </c>
      <c r="J17" s="216"/>
      <c r="L17" s="245">
        <v>0</v>
      </c>
      <c r="M17" s="245">
        <v>0</v>
      </c>
      <c r="N17" s="216"/>
      <c r="P17" s="245">
        <v>0</v>
      </c>
      <c r="Q17" s="245">
        <v>0</v>
      </c>
      <c r="R17" s="216"/>
      <c r="T17" s="245">
        <v>1300</v>
      </c>
      <c r="U17" s="245">
        <v>1287</v>
      </c>
      <c r="V17" s="216"/>
      <c r="W17" s="213"/>
      <c r="X17" s="245">
        <v>1300</v>
      </c>
      <c r="Y17" s="245">
        <v>894.1</v>
      </c>
      <c r="Z17" s="216">
        <v>0</v>
      </c>
      <c r="AA17" s="213"/>
      <c r="AB17" s="245">
        <v>1300</v>
      </c>
      <c r="AC17" s="245">
        <v>870.47</v>
      </c>
      <c r="AD17" s="216">
        <f>(AB17-X17)/X17</f>
        <v>0</v>
      </c>
      <c r="AF17" s="245">
        <v>1300</v>
      </c>
      <c r="AG17" s="245">
        <v>1300</v>
      </c>
      <c r="AH17" s="245">
        <v>975.27</v>
      </c>
      <c r="AI17" s="216">
        <f>(AG17-AB17)/AB17</f>
        <v>0</v>
      </c>
      <c r="AJ17" s="80"/>
      <c r="AK17" s="398">
        <v>1300</v>
      </c>
      <c r="AL17" s="398">
        <v>1090.18</v>
      </c>
      <c r="AM17" s="396">
        <f>(AK17-AG17)/AG17</f>
        <v>0</v>
      </c>
      <c r="AO17" s="164">
        <v>3203</v>
      </c>
      <c r="AP17" s="399">
        <f t="shared" si="3"/>
        <v>1903</v>
      </c>
      <c r="AQ17" s="396">
        <f t="shared" si="4"/>
        <v>1.4638461538461538</v>
      </c>
      <c r="AR17" s="156"/>
    </row>
    <row r="18" spans="1:53" ht="14.25" x14ac:dyDescent="0.3">
      <c r="A18" s="161" t="s">
        <v>743</v>
      </c>
      <c r="B18" s="119" t="str">
        <f t="shared" si="1"/>
        <v>5316</v>
      </c>
      <c r="C18" s="161" t="s">
        <v>1884</v>
      </c>
      <c r="D18" s="245">
        <v>11372</v>
      </c>
      <c r="E18" s="245">
        <v>9034.4</v>
      </c>
      <c r="F18" s="216"/>
      <c r="H18" s="245">
        <v>11656</v>
      </c>
      <c r="I18" s="245">
        <v>8602</v>
      </c>
      <c r="J18" s="216"/>
      <c r="L18" s="245">
        <v>12000</v>
      </c>
      <c r="M18" s="245">
        <v>10869</v>
      </c>
      <c r="N18" s="216"/>
      <c r="P18" s="245">
        <v>12000</v>
      </c>
      <c r="Q18" s="245">
        <v>8466.24</v>
      </c>
      <c r="R18" s="216"/>
      <c r="T18" s="245">
        <v>12000</v>
      </c>
      <c r="U18" s="245">
        <v>4396.75</v>
      </c>
      <c r="V18" s="216"/>
      <c r="W18" s="213"/>
      <c r="X18" s="245">
        <v>9515</v>
      </c>
      <c r="Y18" s="245">
        <v>3364.08</v>
      </c>
      <c r="Z18" s="216">
        <v>-0.20708333333333334</v>
      </c>
      <c r="AA18" s="213"/>
      <c r="AB18" s="245">
        <v>9515</v>
      </c>
      <c r="AC18" s="245">
        <v>5762.76</v>
      </c>
      <c r="AD18" s="216">
        <f t="shared" si="2"/>
        <v>0</v>
      </c>
      <c r="AF18" s="245">
        <v>9515</v>
      </c>
      <c r="AG18" s="245">
        <v>9515</v>
      </c>
      <c r="AH18" s="245">
        <v>8894.83</v>
      </c>
      <c r="AI18" s="216">
        <f t="shared" si="0"/>
        <v>0</v>
      </c>
      <c r="AJ18" s="80"/>
      <c r="AK18" s="398">
        <v>9515</v>
      </c>
      <c r="AL18" s="398">
        <v>1809.15</v>
      </c>
      <c r="AM18" s="396">
        <f t="shared" ref="AM18:AM25" si="5">(AK18-AG18)/AG18</f>
        <v>0</v>
      </c>
      <c r="AO18" s="164">
        <v>13500</v>
      </c>
      <c r="AP18" s="399">
        <f t="shared" si="3"/>
        <v>3985</v>
      </c>
      <c r="AQ18" s="396">
        <f t="shared" si="4"/>
        <v>0.41881240147136101</v>
      </c>
      <c r="AR18" s="156" t="s">
        <v>1280</v>
      </c>
    </row>
    <row r="19" spans="1:53" s="211" customFormat="1" x14ac:dyDescent="0.25">
      <c r="A19" s="211" t="s">
        <v>744</v>
      </c>
      <c r="B19" s="214" t="str">
        <f t="shared" si="1"/>
        <v>5317</v>
      </c>
      <c r="C19" s="211" t="s">
        <v>1744</v>
      </c>
      <c r="D19" s="245">
        <v>1075</v>
      </c>
      <c r="E19" s="245">
        <v>1076.5</v>
      </c>
      <c r="F19" s="216"/>
      <c r="G19" s="213"/>
      <c r="H19" s="245">
        <v>1075</v>
      </c>
      <c r="I19" s="245">
        <v>402.5</v>
      </c>
      <c r="J19" s="216"/>
      <c r="K19" s="213"/>
      <c r="L19" s="245">
        <v>500</v>
      </c>
      <c r="M19" s="245">
        <v>856.5</v>
      </c>
      <c r="N19" s="216"/>
      <c r="O19" s="213"/>
      <c r="P19" s="245">
        <v>500</v>
      </c>
      <c r="Q19" s="245">
        <v>607.99</v>
      </c>
      <c r="R19" s="216"/>
      <c r="S19" s="213"/>
      <c r="T19" s="245">
        <v>500</v>
      </c>
      <c r="U19" s="245">
        <v>297</v>
      </c>
      <c r="V19" s="216"/>
      <c r="W19" s="213"/>
      <c r="X19" s="245">
        <v>709</v>
      </c>
      <c r="Y19" s="245">
        <v>523</v>
      </c>
      <c r="Z19" s="216">
        <v>0.41799999999999998</v>
      </c>
      <c r="AA19" s="213"/>
      <c r="AB19" s="245">
        <v>709</v>
      </c>
      <c r="AC19" s="245">
        <v>590</v>
      </c>
      <c r="AD19" s="216">
        <f t="shared" si="2"/>
        <v>0</v>
      </c>
      <c r="AE19" s="213"/>
      <c r="AF19" s="245">
        <v>709</v>
      </c>
      <c r="AG19" s="245">
        <v>709</v>
      </c>
      <c r="AH19" s="245">
        <v>312</v>
      </c>
      <c r="AI19" s="216">
        <f t="shared" si="0"/>
        <v>0</v>
      </c>
      <c r="AJ19" s="216"/>
      <c r="AK19" s="398">
        <v>709</v>
      </c>
      <c r="AL19" s="398">
        <v>137</v>
      </c>
      <c r="AM19" s="396">
        <f t="shared" si="5"/>
        <v>0</v>
      </c>
      <c r="AN19" s="397"/>
      <c r="AO19" s="163">
        <v>200</v>
      </c>
      <c r="AP19" s="399">
        <f t="shared" si="3"/>
        <v>-509</v>
      </c>
      <c r="AQ19" s="396">
        <f t="shared" si="4"/>
        <v>-0.71791255289139633</v>
      </c>
      <c r="AR19" s="288" t="s">
        <v>1222</v>
      </c>
    </row>
    <row r="20" spans="1:53" ht="14.25" x14ac:dyDescent="0.3">
      <c r="A20" s="161" t="s">
        <v>745</v>
      </c>
      <c r="B20" s="119" t="str">
        <f t="shared" si="1"/>
        <v>5344</v>
      </c>
      <c r="C20" s="161" t="s">
        <v>1601</v>
      </c>
      <c r="D20" s="245">
        <v>550</v>
      </c>
      <c r="E20" s="245">
        <v>151.05000000000001</v>
      </c>
      <c r="F20" s="216"/>
      <c r="H20" s="245">
        <v>550</v>
      </c>
      <c r="I20" s="245">
        <v>141.52000000000001</v>
      </c>
      <c r="J20" s="216"/>
      <c r="L20" s="245">
        <v>400</v>
      </c>
      <c r="M20" s="245">
        <v>102.52</v>
      </c>
      <c r="N20" s="216"/>
      <c r="P20" s="245">
        <v>400</v>
      </c>
      <c r="Q20" s="245">
        <v>103.74</v>
      </c>
      <c r="R20" s="216"/>
      <c r="T20" s="245">
        <v>400</v>
      </c>
      <c r="U20" s="245">
        <v>129.88</v>
      </c>
      <c r="V20" s="216"/>
      <c r="W20" s="213"/>
      <c r="X20" s="245">
        <v>200</v>
      </c>
      <c r="Y20" s="245">
        <v>85.67</v>
      </c>
      <c r="Z20" s="216">
        <v>-0.5</v>
      </c>
      <c r="AA20" s="213"/>
      <c r="AB20" s="245">
        <v>200</v>
      </c>
      <c r="AC20" s="245">
        <v>43.5</v>
      </c>
      <c r="AD20" s="216">
        <f t="shared" si="2"/>
        <v>0</v>
      </c>
      <c r="AF20" s="245">
        <v>200</v>
      </c>
      <c r="AG20" s="245">
        <v>200</v>
      </c>
      <c r="AH20" s="245">
        <v>180.26</v>
      </c>
      <c r="AI20" s="216">
        <f t="shared" si="0"/>
        <v>0</v>
      </c>
      <c r="AJ20" s="80"/>
      <c r="AK20" s="398">
        <v>200</v>
      </c>
      <c r="AL20" s="398">
        <v>29.05</v>
      </c>
      <c r="AM20" s="396">
        <f t="shared" si="5"/>
        <v>0</v>
      </c>
      <c r="AO20" s="164">
        <v>200</v>
      </c>
      <c r="AP20" s="399">
        <f t="shared" si="3"/>
        <v>0</v>
      </c>
      <c r="AQ20" s="396">
        <f t="shared" si="4"/>
        <v>0</v>
      </c>
      <c r="AR20" s="156"/>
    </row>
    <row r="21" spans="1:53" x14ac:dyDescent="0.25">
      <c r="A21" s="161" t="s">
        <v>746</v>
      </c>
      <c r="B21" s="119" t="str">
        <f t="shared" si="1"/>
        <v>5399</v>
      </c>
      <c r="C21" s="161" t="s">
        <v>1602</v>
      </c>
      <c r="D21" s="245">
        <v>500</v>
      </c>
      <c r="E21" s="245">
        <v>323.31</v>
      </c>
      <c r="F21" s="216"/>
      <c r="H21" s="245">
        <v>608</v>
      </c>
      <c r="I21" s="245">
        <v>121.95</v>
      </c>
      <c r="J21" s="216"/>
      <c r="L21" s="245">
        <v>350</v>
      </c>
      <c r="M21" s="245">
        <v>100</v>
      </c>
      <c r="N21" s="216"/>
      <c r="P21" s="245">
        <v>350</v>
      </c>
      <c r="Q21" s="245">
        <v>150</v>
      </c>
      <c r="R21" s="216"/>
      <c r="T21" s="245">
        <v>350</v>
      </c>
      <c r="U21" s="245">
        <v>656.25</v>
      </c>
      <c r="V21" s="216"/>
      <c r="W21" s="213"/>
      <c r="X21" s="245">
        <v>350</v>
      </c>
      <c r="Y21" s="245">
        <v>0</v>
      </c>
      <c r="Z21" s="216">
        <v>0</v>
      </c>
      <c r="AA21" s="213"/>
      <c r="AB21" s="245">
        <v>350</v>
      </c>
      <c r="AC21" s="245">
        <v>300</v>
      </c>
      <c r="AD21" s="216">
        <f t="shared" si="2"/>
        <v>0</v>
      </c>
      <c r="AF21" s="245">
        <v>350</v>
      </c>
      <c r="AG21" s="245">
        <v>350</v>
      </c>
      <c r="AH21" s="245">
        <v>82.84</v>
      </c>
      <c r="AI21" s="216">
        <f t="shared" si="0"/>
        <v>0</v>
      </c>
      <c r="AJ21" s="80"/>
      <c r="AK21" s="398">
        <v>350</v>
      </c>
      <c r="AL21" s="398">
        <v>0</v>
      </c>
      <c r="AM21" s="396">
        <f t="shared" si="5"/>
        <v>0</v>
      </c>
      <c r="AO21" s="164">
        <v>350</v>
      </c>
      <c r="AP21" s="399">
        <f t="shared" si="3"/>
        <v>0</v>
      </c>
      <c r="AQ21" s="396">
        <f t="shared" si="4"/>
        <v>0</v>
      </c>
      <c r="AR21" s="217" t="s">
        <v>1077</v>
      </c>
    </row>
    <row r="22" spans="1:53" x14ac:dyDescent="0.25">
      <c r="A22" s="161" t="s">
        <v>747</v>
      </c>
      <c r="B22" s="119" t="str">
        <f t="shared" si="1"/>
        <v>5420</v>
      </c>
      <c r="C22" s="161" t="s">
        <v>1480</v>
      </c>
      <c r="D22" s="245">
        <v>200</v>
      </c>
      <c r="E22" s="245">
        <v>355.58</v>
      </c>
      <c r="F22" s="216"/>
      <c r="H22" s="245">
        <v>200</v>
      </c>
      <c r="I22" s="245">
        <v>46.24</v>
      </c>
      <c r="J22" s="216"/>
      <c r="L22" s="245">
        <v>150</v>
      </c>
      <c r="M22" s="245">
        <v>42.61</v>
      </c>
      <c r="N22" s="216"/>
      <c r="P22" s="245">
        <v>150</v>
      </c>
      <c r="Q22" s="245">
        <v>24.99</v>
      </c>
      <c r="R22" s="216"/>
      <c r="T22" s="245">
        <v>150</v>
      </c>
      <c r="U22" s="245">
        <v>193.66</v>
      </c>
      <c r="V22" s="216"/>
      <c r="W22" s="213"/>
      <c r="X22" s="245">
        <v>100</v>
      </c>
      <c r="Y22" s="245">
        <v>0</v>
      </c>
      <c r="Z22" s="216">
        <v>-0.33333333333333331</v>
      </c>
      <c r="AA22" s="213"/>
      <c r="AB22" s="245">
        <v>100</v>
      </c>
      <c r="AC22" s="245">
        <v>2.42</v>
      </c>
      <c r="AD22" s="216">
        <f t="shared" si="2"/>
        <v>0</v>
      </c>
      <c r="AF22" s="245">
        <v>100</v>
      </c>
      <c r="AG22" s="245">
        <v>100</v>
      </c>
      <c r="AH22" s="245">
        <v>2.42</v>
      </c>
      <c r="AI22" s="216">
        <f t="shared" si="0"/>
        <v>0</v>
      </c>
      <c r="AJ22" s="80"/>
      <c r="AK22" s="398">
        <v>100</v>
      </c>
      <c r="AL22" s="398">
        <v>14.24</v>
      </c>
      <c r="AM22" s="396">
        <f t="shared" si="5"/>
        <v>0</v>
      </c>
      <c r="AO22" s="164">
        <v>100</v>
      </c>
      <c r="AP22" s="399">
        <f t="shared" si="3"/>
        <v>0</v>
      </c>
      <c r="AQ22" s="396">
        <f t="shared" si="4"/>
        <v>0</v>
      </c>
      <c r="AR22" s="166"/>
    </row>
    <row r="23" spans="1:53" ht="14.25" x14ac:dyDescent="0.3">
      <c r="A23" s="161" t="s">
        <v>748</v>
      </c>
      <c r="B23" s="119" t="str">
        <f t="shared" si="1"/>
        <v>5589</v>
      </c>
      <c r="C23" s="161" t="s">
        <v>1604</v>
      </c>
      <c r="D23" s="245">
        <v>0</v>
      </c>
      <c r="E23" s="245">
        <v>0</v>
      </c>
      <c r="F23" s="216"/>
      <c r="H23" s="245">
        <v>108</v>
      </c>
      <c r="I23" s="245">
        <v>56.5</v>
      </c>
      <c r="J23" s="216"/>
      <c r="L23" s="245">
        <v>100</v>
      </c>
      <c r="M23" s="245">
        <v>388.9</v>
      </c>
      <c r="N23" s="216"/>
      <c r="P23" s="245">
        <v>100</v>
      </c>
      <c r="Q23" s="245">
        <v>134.43</v>
      </c>
      <c r="R23" s="216"/>
      <c r="T23" s="245">
        <v>100</v>
      </c>
      <c r="U23" s="245">
        <v>0</v>
      </c>
      <c r="V23" s="216"/>
      <c r="W23" s="213"/>
      <c r="X23" s="245">
        <v>50</v>
      </c>
      <c r="Y23" s="245">
        <v>4.99</v>
      </c>
      <c r="Z23" s="216">
        <v>-0.5</v>
      </c>
      <c r="AA23" s="213"/>
      <c r="AB23" s="245">
        <v>50</v>
      </c>
      <c r="AC23" s="245">
        <v>87.14</v>
      </c>
      <c r="AD23" s="216">
        <f t="shared" si="2"/>
        <v>0</v>
      </c>
      <c r="AF23" s="245">
        <v>50</v>
      </c>
      <c r="AG23" s="245">
        <v>50</v>
      </c>
      <c r="AH23" s="245">
        <v>213.45</v>
      </c>
      <c r="AI23" s="216">
        <f t="shared" si="0"/>
        <v>0</v>
      </c>
      <c r="AJ23" s="80"/>
      <c r="AK23" s="398">
        <v>50</v>
      </c>
      <c r="AL23" s="398">
        <v>0</v>
      </c>
      <c r="AM23" s="396">
        <f t="shared" si="5"/>
        <v>0</v>
      </c>
      <c r="AO23" s="164">
        <v>50</v>
      </c>
      <c r="AP23" s="399">
        <f t="shared" si="3"/>
        <v>0</v>
      </c>
      <c r="AQ23" s="396">
        <f t="shared" si="4"/>
        <v>0</v>
      </c>
      <c r="AR23" s="156" t="s">
        <v>886</v>
      </c>
    </row>
    <row r="24" spans="1:53" ht="14.25" x14ac:dyDescent="0.3">
      <c r="A24" s="161" t="s">
        <v>749</v>
      </c>
      <c r="B24" s="119" t="str">
        <f t="shared" si="1"/>
        <v>5710</v>
      </c>
      <c r="C24" s="161" t="s">
        <v>1605</v>
      </c>
      <c r="D24" s="245">
        <v>1000</v>
      </c>
      <c r="E24" s="245">
        <v>1351.4</v>
      </c>
      <c r="F24" s="216"/>
      <c r="H24" s="245">
        <v>1000</v>
      </c>
      <c r="I24" s="245">
        <v>406.47</v>
      </c>
      <c r="J24" s="216"/>
      <c r="L24" s="245">
        <v>500</v>
      </c>
      <c r="M24" s="245">
        <v>1012.37</v>
      </c>
      <c r="N24" s="216"/>
      <c r="P24" s="245">
        <v>500</v>
      </c>
      <c r="Q24" s="245">
        <v>287.72000000000003</v>
      </c>
      <c r="R24" s="216"/>
      <c r="T24" s="245">
        <v>500</v>
      </c>
      <c r="U24" s="245">
        <v>441</v>
      </c>
      <c r="V24" s="216"/>
      <c r="W24" s="213"/>
      <c r="X24" s="245">
        <v>500</v>
      </c>
      <c r="Y24" s="245">
        <v>658</v>
      </c>
      <c r="Z24" s="216">
        <v>0</v>
      </c>
      <c r="AA24" s="213"/>
      <c r="AB24" s="245">
        <v>500</v>
      </c>
      <c r="AC24" s="245">
        <v>841.91</v>
      </c>
      <c r="AD24" s="216">
        <f t="shared" si="2"/>
        <v>0</v>
      </c>
      <c r="AF24" s="245">
        <v>500</v>
      </c>
      <c r="AG24" s="245">
        <v>500</v>
      </c>
      <c r="AH24" s="245">
        <v>1486.16</v>
      </c>
      <c r="AI24" s="216">
        <f t="shared" si="0"/>
        <v>0</v>
      </c>
      <c r="AJ24" s="80"/>
      <c r="AK24" s="398">
        <v>500</v>
      </c>
      <c r="AL24" s="398">
        <v>0</v>
      </c>
      <c r="AM24" s="396">
        <f t="shared" si="5"/>
        <v>0</v>
      </c>
      <c r="AO24" s="164">
        <v>500</v>
      </c>
      <c r="AP24" s="399">
        <f t="shared" si="3"/>
        <v>0</v>
      </c>
      <c r="AQ24" s="396">
        <f t="shared" si="4"/>
        <v>0</v>
      </c>
      <c r="AR24" s="156" t="s">
        <v>887</v>
      </c>
    </row>
    <row r="25" spans="1:53" ht="14.25" x14ac:dyDescent="0.3">
      <c r="A25" s="161" t="s">
        <v>750</v>
      </c>
      <c r="B25" s="119" t="str">
        <f t="shared" si="1"/>
        <v>5730</v>
      </c>
      <c r="C25" s="161" t="s">
        <v>1594</v>
      </c>
      <c r="D25" s="245">
        <v>360</v>
      </c>
      <c r="E25" s="245">
        <v>175</v>
      </c>
      <c r="F25" s="216"/>
      <c r="H25" s="245">
        <v>360</v>
      </c>
      <c r="I25" s="245">
        <v>135</v>
      </c>
      <c r="J25" s="216"/>
      <c r="L25" s="245">
        <v>125</v>
      </c>
      <c r="M25" s="245">
        <v>245</v>
      </c>
      <c r="N25" s="216"/>
      <c r="P25" s="245">
        <v>125</v>
      </c>
      <c r="Q25" s="245">
        <v>185</v>
      </c>
      <c r="R25" s="216"/>
      <c r="T25" s="245">
        <v>305</v>
      </c>
      <c r="U25" s="245">
        <v>280</v>
      </c>
      <c r="V25" s="216"/>
      <c r="W25" s="213"/>
      <c r="X25" s="245">
        <v>230</v>
      </c>
      <c r="Y25" s="245">
        <v>285</v>
      </c>
      <c r="Z25" s="216">
        <v>-0.24590163934426229</v>
      </c>
      <c r="AA25" s="213"/>
      <c r="AB25" s="245">
        <v>230</v>
      </c>
      <c r="AC25" s="245">
        <v>245</v>
      </c>
      <c r="AD25" s="216">
        <f t="shared" si="2"/>
        <v>0</v>
      </c>
      <c r="AF25" s="245">
        <v>230</v>
      </c>
      <c r="AG25" s="245">
        <v>230</v>
      </c>
      <c r="AH25" s="245">
        <v>390</v>
      </c>
      <c r="AI25" s="216">
        <f t="shared" si="0"/>
        <v>0</v>
      </c>
      <c r="AJ25" s="80"/>
      <c r="AK25" s="398">
        <v>230</v>
      </c>
      <c r="AL25" s="398">
        <v>55</v>
      </c>
      <c r="AM25" s="396">
        <f t="shared" si="5"/>
        <v>0</v>
      </c>
      <c r="AO25" s="164">
        <v>210</v>
      </c>
      <c r="AP25" s="399">
        <f t="shared" si="3"/>
        <v>-20</v>
      </c>
      <c r="AQ25" s="216">
        <f>AP25/AK25</f>
        <v>-8.6956521739130432E-2</v>
      </c>
      <c r="AR25" s="156" t="s">
        <v>1281</v>
      </c>
    </row>
    <row r="26" spans="1:53" s="114" customFormat="1" x14ac:dyDescent="0.25">
      <c r="A26" s="219"/>
      <c r="B26" s="219"/>
      <c r="C26" s="219" t="s">
        <v>279</v>
      </c>
      <c r="D26" s="220">
        <f>SUM(D12:D25)</f>
        <v>19107.669999999998</v>
      </c>
      <c r="E26" s="220">
        <f>SUM(E12:E25)</f>
        <v>14950.029999999997</v>
      </c>
      <c r="F26" s="221">
        <v>-0.13150000000000001</v>
      </c>
      <c r="G26" s="219"/>
      <c r="H26" s="220">
        <f>SUM(H12:H25)</f>
        <v>19717</v>
      </c>
      <c r="I26" s="220">
        <f>SUM(I12:I25)</f>
        <v>12275.25</v>
      </c>
      <c r="J26" s="221">
        <v>-0.13150000000000001</v>
      </c>
      <c r="K26" s="219"/>
      <c r="L26" s="220">
        <f>SUM(L12:L25)</f>
        <v>17125</v>
      </c>
      <c r="M26" s="220">
        <f>SUM(M12:M25)</f>
        <v>15745.000000000002</v>
      </c>
      <c r="N26" s="221">
        <v>-0.13150000000000001</v>
      </c>
      <c r="O26" s="219"/>
      <c r="P26" s="220">
        <f>SUM(P12:P25)</f>
        <v>17125</v>
      </c>
      <c r="Q26" s="220">
        <f>SUM(Q12:Q25)</f>
        <v>12247.059999999998</v>
      </c>
      <c r="R26" s="221">
        <v>-0.13150000000000001</v>
      </c>
      <c r="S26" s="219"/>
      <c r="T26" s="220">
        <f>SUM(T12:T25)</f>
        <v>18605</v>
      </c>
      <c r="U26" s="220">
        <f>SUM(U12:U25)</f>
        <v>10066.76</v>
      </c>
      <c r="V26" s="221">
        <v>-0.13150000000000001</v>
      </c>
      <c r="W26" s="219"/>
      <c r="X26" s="220">
        <f>SUM(X12:X25)</f>
        <v>15764</v>
      </c>
      <c r="Y26" s="220">
        <f>SUM(Y12:Y25)</f>
        <v>8200.09</v>
      </c>
      <c r="Z26" s="222">
        <f>(X26-T26)/T26</f>
        <v>-0.15270088685837141</v>
      </c>
      <c r="AA26" s="219"/>
      <c r="AB26" s="220">
        <f>SUM(AB12:AB25)</f>
        <v>15764</v>
      </c>
      <c r="AC26" s="220">
        <f>SUM(AC12:AC25)</f>
        <v>11607.49</v>
      </c>
      <c r="AD26" s="221">
        <f>(AB26-X26)/X26</f>
        <v>0</v>
      </c>
      <c r="AE26" s="219"/>
      <c r="AF26" s="220">
        <f>SUM(AF12:AF25)</f>
        <v>15764</v>
      </c>
      <c r="AG26" s="220">
        <f>SUM(AG12:AG25)</f>
        <v>15764</v>
      </c>
      <c r="AH26" s="220">
        <f>SUM(AH12:AH25)</f>
        <v>15649.820000000002</v>
      </c>
      <c r="AI26" s="221">
        <f t="shared" si="0"/>
        <v>0</v>
      </c>
      <c r="AJ26" s="221"/>
      <c r="AK26" s="401">
        <f>SUM(AK12:AK25)</f>
        <v>15764</v>
      </c>
      <c r="AL26" s="401">
        <f>SUM(AL12:AL25)</f>
        <v>4840.72</v>
      </c>
      <c r="AM26" s="221">
        <f>(AK26-AG26)/AG26</f>
        <v>0</v>
      </c>
      <c r="AN26" s="219"/>
      <c r="AO26" s="220">
        <f>SUM(AO12:AO25)</f>
        <v>21173</v>
      </c>
      <c r="AP26" s="401">
        <f>SUM(AP12:AP25)</f>
        <v>5409</v>
      </c>
      <c r="AQ26" s="221">
        <f>AP26/AK26</f>
        <v>0.34312357269728494</v>
      </c>
      <c r="AR26" s="219"/>
    </row>
    <row r="27" spans="1:53" s="211" customFormat="1" x14ac:dyDescent="0.25">
      <c r="D27" s="112"/>
      <c r="E27" s="112"/>
      <c r="F27" s="216"/>
      <c r="G27" s="213"/>
      <c r="H27" s="112"/>
      <c r="I27" s="112"/>
      <c r="J27" s="216"/>
      <c r="K27" s="213"/>
      <c r="L27" s="112"/>
      <c r="M27" s="112"/>
      <c r="N27" s="216"/>
      <c r="O27" s="213"/>
      <c r="P27" s="112"/>
      <c r="Q27" s="112"/>
      <c r="R27" s="216"/>
      <c r="S27" s="213"/>
      <c r="T27" s="112"/>
      <c r="U27" s="112"/>
      <c r="V27" s="216"/>
      <c r="W27" s="213"/>
      <c r="X27" s="112"/>
      <c r="Y27" s="112"/>
      <c r="Z27" s="216"/>
      <c r="AA27" s="213"/>
      <c r="AB27" s="112"/>
      <c r="AC27" s="112"/>
      <c r="AD27" s="216"/>
      <c r="AE27" s="213"/>
      <c r="AF27" s="112"/>
      <c r="AG27" s="112"/>
      <c r="AH27" s="112"/>
      <c r="AI27" s="216"/>
      <c r="AJ27" s="216"/>
      <c r="AK27" s="112"/>
      <c r="AL27" s="112"/>
      <c r="AM27" s="396"/>
      <c r="AN27" s="397"/>
      <c r="AO27" s="212"/>
      <c r="AP27" s="212"/>
      <c r="AQ27" s="216"/>
    </row>
    <row r="28" spans="1:53" s="114" customFormat="1" ht="12.75" x14ac:dyDescent="0.2">
      <c r="A28" s="228"/>
      <c r="B28" s="228"/>
      <c r="C28" s="233" t="s">
        <v>280</v>
      </c>
      <c r="D28" s="230">
        <f>D9+D26</f>
        <v>57002</v>
      </c>
      <c r="E28" s="230">
        <f>E9+E26</f>
        <v>52844.36</v>
      </c>
      <c r="F28" s="231">
        <v>-1.1999999999999999E-3</v>
      </c>
      <c r="G28" s="228"/>
      <c r="H28" s="230">
        <f>H9+H26</f>
        <v>59741</v>
      </c>
      <c r="I28" s="230">
        <f>I9+I26</f>
        <v>52052.85</v>
      </c>
      <c r="J28" s="231">
        <v>-1.1999999999999999E-3</v>
      </c>
      <c r="K28" s="228"/>
      <c r="L28" s="230">
        <f>L9+L26</f>
        <v>59669.86</v>
      </c>
      <c r="M28" s="230">
        <f>M9+M26</f>
        <v>58211.24</v>
      </c>
      <c r="N28" s="231">
        <v>-1.1999999999999999E-3</v>
      </c>
      <c r="O28" s="228"/>
      <c r="P28" s="230">
        <f>P9+P26</f>
        <v>62097.16</v>
      </c>
      <c r="Q28" s="230">
        <f>Q9+Q26</f>
        <v>57052.659999999996</v>
      </c>
      <c r="R28" s="231">
        <v>-1.1999999999999999E-3</v>
      </c>
      <c r="S28" s="228"/>
      <c r="T28" s="230">
        <f>T9+T26</f>
        <v>65816.540000000008</v>
      </c>
      <c r="U28" s="230">
        <f>U9+U26</f>
        <v>57357.37</v>
      </c>
      <c r="V28" s="231">
        <v>-1.1999999999999999E-3</v>
      </c>
      <c r="W28" s="228"/>
      <c r="X28" s="230">
        <f>X9+X26</f>
        <v>73366.06</v>
      </c>
      <c r="Y28" s="230">
        <f>Y9+Y26</f>
        <v>65832.78</v>
      </c>
      <c r="Z28" s="231">
        <f>(X28-T28)/T28</f>
        <v>0.11470551323421116</v>
      </c>
      <c r="AA28" s="228"/>
      <c r="AB28" s="230">
        <f>AB9+AB26</f>
        <v>75636.649999999994</v>
      </c>
      <c r="AC28" s="230">
        <f>AC9+AC26</f>
        <v>71480.150000000009</v>
      </c>
      <c r="AD28" s="231">
        <f>(AB28-X28)/X28</f>
        <v>3.0948779312941113E-2</v>
      </c>
      <c r="AE28" s="228"/>
      <c r="AF28" s="230">
        <f>AF9+AF26</f>
        <v>78395.42</v>
      </c>
      <c r="AG28" s="382">
        <f>AG9+AG26</f>
        <v>81884.989999999991</v>
      </c>
      <c r="AH28" s="230">
        <f>AH9+AH26</f>
        <v>79273.5</v>
      </c>
      <c r="AI28" s="231">
        <f t="shared" si="0"/>
        <v>8.2609951657033956E-2</v>
      </c>
      <c r="AJ28" s="231"/>
      <c r="AK28" s="402">
        <f>AK9+AK26</f>
        <v>83767.53</v>
      </c>
      <c r="AL28" s="402">
        <f>AL9+AL26</f>
        <v>37784.17</v>
      </c>
      <c r="AM28" s="231">
        <f>(AK28-AG28)/AG28</f>
        <v>2.2990049824760415E-2</v>
      </c>
      <c r="AN28" s="228"/>
      <c r="AO28" s="230">
        <f>AO9+AO26</f>
        <v>90634.294099999999</v>
      </c>
      <c r="AP28" s="230">
        <f>AP9+AP26</f>
        <v>6866.7641000000021</v>
      </c>
      <c r="AQ28" s="231">
        <f>AP28/AK28</f>
        <v>8.1974054863501428E-2</v>
      </c>
      <c r="AR28" s="233"/>
    </row>
    <row r="29" spans="1:53" x14ac:dyDescent="0.25">
      <c r="D29" s="120"/>
      <c r="H29" s="120"/>
      <c r="L29" s="120"/>
      <c r="P29" s="120"/>
      <c r="T29" s="120"/>
      <c r="X29" s="120"/>
      <c r="AB29" s="120"/>
      <c r="AF29" s="120"/>
      <c r="AG29" s="120"/>
      <c r="AK29" s="403"/>
      <c r="AQ29" s="211"/>
    </row>
    <row r="30" spans="1:53" s="111" customFormat="1" thickBot="1" x14ac:dyDescent="0.25">
      <c r="C30" s="111" t="s">
        <v>281</v>
      </c>
      <c r="D30" s="122"/>
      <c r="E30" s="121">
        <f>D28-E28</f>
        <v>4157.6399999999994</v>
      </c>
      <c r="G30" s="118"/>
      <c r="H30" s="122"/>
      <c r="I30" s="121">
        <f>H28-I28</f>
        <v>7688.1500000000015</v>
      </c>
      <c r="K30" s="118"/>
      <c r="L30" s="122"/>
      <c r="M30" s="121">
        <f>L28-M28</f>
        <v>1458.6200000000026</v>
      </c>
      <c r="O30" s="118"/>
      <c r="P30" s="122"/>
      <c r="Q30" s="121">
        <f>P28-Q28</f>
        <v>5044.5000000000073</v>
      </c>
      <c r="S30" s="118"/>
      <c r="T30" s="122"/>
      <c r="U30" s="121">
        <f>T28-U28</f>
        <v>8459.1700000000055</v>
      </c>
      <c r="W30" s="118"/>
      <c r="X30" s="122"/>
      <c r="Y30" s="121">
        <f>X28-Y28</f>
        <v>7533.2799999999988</v>
      </c>
      <c r="AA30" s="118"/>
      <c r="AB30" s="122"/>
      <c r="AC30" s="121">
        <f>AB28-AC28</f>
        <v>4156.4999999999854</v>
      </c>
      <c r="AE30" s="118"/>
      <c r="AF30" s="122"/>
      <c r="AG30" s="122"/>
      <c r="AH30" s="121">
        <f>AG28-AH28</f>
        <v>2611.4899999999907</v>
      </c>
      <c r="AK30" s="122"/>
      <c r="AL30" s="121">
        <f>AK28-AL28</f>
        <v>45983.360000000001</v>
      </c>
      <c r="AN30" s="118"/>
      <c r="AO30" s="123"/>
      <c r="AP30" s="123"/>
    </row>
    <row r="31" spans="1:53" ht="14.25" thickTop="1" x14ac:dyDescent="0.25">
      <c r="D31" s="120"/>
      <c r="F31" s="216"/>
      <c r="H31" s="120"/>
      <c r="J31" s="216"/>
      <c r="L31" s="120"/>
      <c r="N31" s="216"/>
      <c r="P31" s="120"/>
      <c r="R31" s="216"/>
      <c r="T31" s="120"/>
      <c r="V31" s="80"/>
      <c r="X31" s="120"/>
      <c r="AB31" s="120"/>
      <c r="AF31" s="120"/>
      <c r="AG31" s="120"/>
      <c r="AK31" s="403"/>
      <c r="AO31" s="240" t="s">
        <v>1195</v>
      </c>
      <c r="AP31" s="241"/>
      <c r="AQ31" s="242"/>
      <c r="AR31" s="211"/>
      <c r="AS31" s="111"/>
      <c r="AT31" s="111"/>
      <c r="AU31" s="111"/>
      <c r="AV31" s="111"/>
      <c r="AW31" s="211"/>
      <c r="AX31" s="211"/>
      <c r="AY31" s="211"/>
      <c r="AZ31" s="211"/>
      <c r="BA31" s="211"/>
    </row>
    <row r="32" spans="1:53" x14ac:dyDescent="0.25">
      <c r="A32" s="397"/>
      <c r="B32" s="397"/>
      <c r="C32" s="416"/>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O32" s="243" t="s">
        <v>313</v>
      </c>
      <c r="AP32" s="5"/>
      <c r="AQ32" s="299">
        <f>AO9*0.0145</f>
        <v>1007.18876445</v>
      </c>
      <c r="AR32" s="211"/>
      <c r="AS32" s="211"/>
      <c r="AT32" s="211"/>
      <c r="AU32" s="211"/>
      <c r="AV32" s="211"/>
      <c r="AW32" s="211"/>
      <c r="AX32" s="211"/>
      <c r="AY32" s="211"/>
      <c r="AZ32" s="211"/>
      <c r="BA32" s="211"/>
    </row>
    <row r="33" spans="1:53" x14ac:dyDescent="0.25">
      <c r="A33" s="176"/>
      <c r="B33" s="397"/>
      <c r="C33" s="176"/>
      <c r="D33" s="399"/>
      <c r="E33" s="399"/>
      <c r="F33" s="4"/>
      <c r="G33" s="397"/>
      <c r="H33" s="399"/>
      <c r="I33" s="399"/>
      <c r="J33" s="4"/>
      <c r="K33" s="397"/>
      <c r="L33" s="399"/>
      <c r="M33" s="399"/>
      <c r="N33" s="4"/>
      <c r="O33" s="397"/>
      <c r="P33" s="399"/>
      <c r="Q33" s="399"/>
      <c r="R33" s="4"/>
      <c r="S33" s="397"/>
      <c r="T33" s="399"/>
      <c r="U33" s="399"/>
      <c r="V33" s="4"/>
      <c r="W33" s="397"/>
      <c r="X33" s="399"/>
      <c r="Y33" s="399"/>
      <c r="Z33" s="4"/>
      <c r="AA33" s="397"/>
      <c r="AB33" s="399"/>
      <c r="AC33" s="399"/>
      <c r="AD33" s="4"/>
      <c r="AE33" s="397"/>
      <c r="AF33" s="399"/>
      <c r="AG33" s="399"/>
      <c r="AH33" s="399"/>
      <c r="AI33" s="4"/>
      <c r="AJ33" s="397"/>
      <c r="AK33" s="399"/>
      <c r="AL33" s="399"/>
      <c r="AM33" s="4"/>
      <c r="AO33" s="210" t="s">
        <v>314</v>
      </c>
      <c r="AP33" s="5"/>
      <c r="AQ33" s="299">
        <f>AO9*0.0009</f>
        <v>62.515164689999999</v>
      </c>
      <c r="AR33" s="211"/>
      <c r="AS33" s="213"/>
      <c r="AT33" s="213"/>
      <c r="AU33" s="213"/>
      <c r="AV33" s="213"/>
      <c r="AW33" s="211"/>
      <c r="AX33" s="211"/>
      <c r="AY33" s="211"/>
      <c r="AZ33" s="211"/>
      <c r="BA33" s="211"/>
    </row>
    <row r="34" spans="1:53" x14ac:dyDescent="0.25">
      <c r="A34" s="176"/>
      <c r="B34" s="397"/>
      <c r="C34" s="176"/>
      <c r="D34" s="399"/>
      <c r="E34" s="399"/>
      <c r="F34" s="4"/>
      <c r="G34" s="397"/>
      <c r="H34" s="399"/>
      <c r="I34" s="399"/>
      <c r="J34" s="4"/>
      <c r="K34" s="397"/>
      <c r="L34" s="399"/>
      <c r="M34" s="399"/>
      <c r="N34" s="4"/>
      <c r="O34" s="397"/>
      <c r="P34" s="399"/>
      <c r="Q34" s="399"/>
      <c r="R34" s="4"/>
      <c r="S34" s="397"/>
      <c r="T34" s="399"/>
      <c r="U34" s="399"/>
      <c r="V34" s="4"/>
      <c r="W34" s="397"/>
      <c r="X34" s="399"/>
      <c r="Y34" s="399"/>
      <c r="Z34" s="4"/>
      <c r="AA34" s="397"/>
      <c r="AB34" s="399"/>
      <c r="AC34" s="399"/>
      <c r="AD34" s="4"/>
      <c r="AE34" s="397"/>
      <c r="AF34" s="399"/>
      <c r="AG34" s="399"/>
      <c r="AH34" s="399"/>
      <c r="AI34" s="4"/>
      <c r="AJ34" s="397"/>
      <c r="AK34" s="399"/>
      <c r="AL34" s="399"/>
      <c r="AM34" s="4"/>
      <c r="AO34" s="210" t="s">
        <v>315</v>
      </c>
      <c r="AP34" s="5"/>
      <c r="AQ34" s="299">
        <f>AO9*0.003</f>
        <v>208.38388230000001</v>
      </c>
      <c r="AR34" s="211"/>
      <c r="AS34" s="211"/>
      <c r="AT34" s="211"/>
      <c r="AU34" s="211"/>
      <c r="AV34" s="211"/>
      <c r="AW34" s="211"/>
      <c r="AX34" s="211"/>
      <c r="AY34" s="211"/>
      <c r="AZ34" s="211"/>
      <c r="BA34" s="211"/>
    </row>
    <row r="35" spans="1:53" x14ac:dyDescent="0.25">
      <c r="A35" s="176"/>
      <c r="B35" s="397"/>
      <c r="C35" s="176"/>
      <c r="D35" s="399"/>
      <c r="E35" s="399"/>
      <c r="F35" s="4"/>
      <c r="G35" s="397"/>
      <c r="H35" s="399"/>
      <c r="I35" s="399"/>
      <c r="J35" s="4"/>
      <c r="K35" s="397"/>
      <c r="L35" s="399"/>
      <c r="M35" s="399"/>
      <c r="N35" s="4"/>
      <c r="O35" s="397"/>
      <c r="P35" s="399"/>
      <c r="Q35" s="399"/>
      <c r="R35" s="4"/>
      <c r="S35" s="397"/>
      <c r="T35" s="399"/>
      <c r="U35" s="399"/>
      <c r="V35" s="4"/>
      <c r="W35" s="397"/>
      <c r="X35" s="399"/>
      <c r="Y35" s="399"/>
      <c r="Z35" s="4"/>
      <c r="AA35" s="397"/>
      <c r="AB35" s="399"/>
      <c r="AC35" s="399"/>
      <c r="AD35" s="4"/>
      <c r="AE35" s="397"/>
      <c r="AF35" s="399"/>
      <c r="AG35" s="399"/>
      <c r="AH35" s="399"/>
      <c r="AI35" s="4"/>
      <c r="AJ35" s="397"/>
      <c r="AK35" s="399"/>
      <c r="AL35" s="399"/>
      <c r="AM35" s="4"/>
      <c r="AO35" s="210" t="s">
        <v>316</v>
      </c>
      <c r="AP35" s="5"/>
      <c r="AQ35" s="299">
        <f>'County Retirement'!G27</f>
        <v>8311.8600889237805</v>
      </c>
      <c r="AR35" s="211"/>
      <c r="AS35" s="147"/>
      <c r="AT35" s="147"/>
      <c r="AU35" s="147"/>
      <c r="AV35" s="147"/>
      <c r="AW35" s="211"/>
      <c r="AX35" s="211"/>
      <c r="AY35" s="211"/>
      <c r="AZ35" s="211"/>
      <c r="BA35" s="211"/>
    </row>
    <row r="36" spans="1:53" x14ac:dyDescent="0.25">
      <c r="A36" s="176"/>
      <c r="B36" s="397"/>
      <c r="C36" s="176"/>
      <c r="D36" s="399"/>
      <c r="E36" s="399"/>
      <c r="F36" s="4"/>
      <c r="G36" s="397"/>
      <c r="H36" s="399"/>
      <c r="I36" s="399"/>
      <c r="J36" s="4"/>
      <c r="K36" s="397"/>
      <c r="L36" s="399"/>
      <c r="M36" s="399"/>
      <c r="N36" s="4"/>
      <c r="O36" s="397"/>
      <c r="P36" s="399"/>
      <c r="Q36" s="399"/>
      <c r="R36" s="4"/>
      <c r="S36" s="397"/>
      <c r="T36" s="399"/>
      <c r="U36" s="399"/>
      <c r="V36" s="4"/>
      <c r="W36" s="397"/>
      <c r="X36" s="399"/>
      <c r="Y36" s="399"/>
      <c r="Z36" s="4"/>
      <c r="AA36" s="397"/>
      <c r="AB36" s="399"/>
      <c r="AC36" s="399"/>
      <c r="AD36" s="4"/>
      <c r="AE36" s="397"/>
      <c r="AF36" s="399"/>
      <c r="AG36" s="399"/>
      <c r="AH36" s="399"/>
      <c r="AI36" s="4"/>
      <c r="AJ36" s="397"/>
      <c r="AK36" s="399"/>
      <c r="AL36" s="399"/>
      <c r="AM36" s="4"/>
      <c r="AO36" s="210" t="s">
        <v>1190</v>
      </c>
      <c r="AP36" s="5"/>
      <c r="AQ36" s="299">
        <f>'Health Ins'!L24</f>
        <v>10089</v>
      </c>
      <c r="AR36" s="211"/>
      <c r="AS36" s="211"/>
      <c r="AT36" s="211"/>
      <c r="AU36" s="211"/>
      <c r="AV36" s="211"/>
      <c r="AW36" s="211"/>
      <c r="AX36" s="211"/>
      <c r="AY36" s="211"/>
      <c r="AZ36" s="211"/>
      <c r="BA36" s="211"/>
    </row>
    <row r="37" spans="1:53" x14ac:dyDescent="0.25">
      <c r="A37" s="176"/>
      <c r="B37" s="397"/>
      <c r="C37" s="176"/>
      <c r="D37" s="399"/>
      <c r="E37" s="399"/>
      <c r="F37" s="4"/>
      <c r="G37" s="397"/>
      <c r="H37" s="399"/>
      <c r="I37" s="399"/>
      <c r="J37" s="4"/>
      <c r="K37" s="397"/>
      <c r="L37" s="399"/>
      <c r="M37" s="399"/>
      <c r="N37" s="4"/>
      <c r="O37" s="397"/>
      <c r="P37" s="399"/>
      <c r="Q37" s="399"/>
      <c r="R37" s="4"/>
      <c r="S37" s="397"/>
      <c r="T37" s="399"/>
      <c r="U37" s="399"/>
      <c r="V37" s="4"/>
      <c r="W37" s="397"/>
      <c r="X37" s="399"/>
      <c r="Y37" s="399"/>
      <c r="Z37" s="4"/>
      <c r="AA37" s="397"/>
      <c r="AB37" s="399"/>
      <c r="AC37" s="399"/>
      <c r="AD37" s="4"/>
      <c r="AE37" s="397"/>
      <c r="AF37" s="399"/>
      <c r="AG37" s="399"/>
      <c r="AH37" s="399"/>
      <c r="AI37" s="4"/>
      <c r="AJ37" s="397"/>
      <c r="AK37" s="399"/>
      <c r="AL37" s="399"/>
      <c r="AM37" s="4"/>
      <c r="AO37" s="297" t="s">
        <v>1191</v>
      </c>
      <c r="AP37" s="298"/>
      <c r="AQ37" s="303">
        <f>'Health Ins'!L26</f>
        <v>46377</v>
      </c>
      <c r="AR37" s="211"/>
      <c r="AS37" s="114"/>
      <c r="AT37" s="114"/>
      <c r="AU37" s="114"/>
      <c r="AV37" s="114"/>
      <c r="AW37" s="211"/>
      <c r="AX37" s="211"/>
      <c r="AY37" s="211"/>
      <c r="AZ37" s="211"/>
      <c r="BA37" s="211"/>
    </row>
    <row r="38" spans="1:53" x14ac:dyDescent="0.25">
      <c r="A38" s="176"/>
      <c r="B38" s="397"/>
      <c r="C38" s="176"/>
      <c r="D38" s="399"/>
      <c r="E38" s="399"/>
      <c r="F38" s="4"/>
      <c r="G38" s="397"/>
      <c r="H38" s="399"/>
      <c r="I38" s="399"/>
      <c r="J38" s="4"/>
      <c r="K38" s="397"/>
      <c r="L38" s="399"/>
      <c r="M38" s="399"/>
      <c r="N38" s="4"/>
      <c r="O38" s="397"/>
      <c r="P38" s="399"/>
      <c r="Q38" s="399"/>
      <c r="R38" s="4"/>
      <c r="S38" s="397"/>
      <c r="T38" s="399"/>
      <c r="U38" s="399"/>
      <c r="V38" s="4"/>
      <c r="W38" s="397"/>
      <c r="X38" s="399"/>
      <c r="Y38" s="399"/>
      <c r="Z38" s="4"/>
      <c r="AA38" s="397"/>
      <c r="AB38" s="399"/>
      <c r="AC38" s="399"/>
      <c r="AD38" s="4"/>
      <c r="AE38" s="397"/>
      <c r="AF38" s="399"/>
      <c r="AG38" s="399"/>
      <c r="AH38" s="399"/>
      <c r="AI38" s="4"/>
      <c r="AJ38" s="397"/>
      <c r="AK38" s="399"/>
      <c r="AL38" s="399"/>
      <c r="AM38" s="4"/>
      <c r="AO38" s="235"/>
      <c r="AP38" s="237"/>
      <c r="AQ38" s="301">
        <f>SUM(AQ32:AQ37)</f>
        <v>66055.947900363783</v>
      </c>
      <c r="AR38" s="211"/>
      <c r="AS38" s="211"/>
      <c r="AT38" s="211"/>
      <c r="AU38" s="211"/>
      <c r="AV38" s="211"/>
      <c r="AW38" s="211"/>
      <c r="AX38" s="211"/>
      <c r="AY38" s="211"/>
      <c r="AZ38" s="211"/>
      <c r="BA38" s="211"/>
    </row>
    <row r="39" spans="1:53" x14ac:dyDescent="0.25">
      <c r="A39" s="176"/>
      <c r="B39" s="397"/>
      <c r="C39" s="176"/>
      <c r="D39" s="399"/>
      <c r="E39" s="399"/>
      <c r="F39" s="4"/>
      <c r="G39" s="397"/>
      <c r="H39" s="399"/>
      <c r="I39" s="399"/>
      <c r="J39" s="4"/>
      <c r="K39" s="397"/>
      <c r="L39" s="399"/>
      <c r="M39" s="399"/>
      <c r="N39" s="4"/>
      <c r="O39" s="397"/>
      <c r="P39" s="399"/>
      <c r="Q39" s="399"/>
      <c r="R39" s="4"/>
      <c r="S39" s="397"/>
      <c r="T39" s="399"/>
      <c r="U39" s="399"/>
      <c r="V39" s="4"/>
      <c r="W39" s="397"/>
      <c r="X39" s="399"/>
      <c r="Y39" s="399"/>
      <c r="Z39" s="4"/>
      <c r="AA39" s="397"/>
      <c r="AB39" s="399"/>
      <c r="AC39" s="399"/>
      <c r="AD39" s="4"/>
      <c r="AE39" s="397"/>
      <c r="AF39" s="399"/>
      <c r="AG39" s="399"/>
      <c r="AH39" s="399"/>
      <c r="AI39" s="4"/>
      <c r="AJ39" s="397"/>
      <c r="AK39" s="399"/>
      <c r="AL39" s="399"/>
      <c r="AM39" s="4"/>
      <c r="AO39" s="212"/>
      <c r="AP39" s="212"/>
      <c r="AQ39" s="211"/>
      <c r="AR39" s="211"/>
      <c r="AS39" s="211"/>
      <c r="AT39" s="211"/>
      <c r="AU39" s="211"/>
      <c r="AV39" s="211"/>
      <c r="AW39" s="211"/>
      <c r="AX39" s="211"/>
      <c r="AY39" s="211"/>
      <c r="AZ39" s="211"/>
      <c r="BA39" s="211"/>
    </row>
    <row r="40" spans="1:53" x14ac:dyDescent="0.25">
      <c r="A40" s="176"/>
      <c r="B40" s="397"/>
      <c r="C40" s="176"/>
      <c r="D40" s="399"/>
      <c r="E40" s="399"/>
      <c r="F40" s="4"/>
      <c r="G40" s="397"/>
      <c r="H40" s="399"/>
      <c r="I40" s="399"/>
      <c r="J40" s="4"/>
      <c r="K40" s="397"/>
      <c r="L40" s="399"/>
      <c r="M40" s="399"/>
      <c r="N40" s="4"/>
      <c r="O40" s="397"/>
      <c r="P40" s="399"/>
      <c r="Q40" s="399"/>
      <c r="R40" s="4"/>
      <c r="S40" s="397"/>
      <c r="T40" s="399"/>
      <c r="U40" s="399"/>
      <c r="V40" s="4"/>
      <c r="W40" s="397"/>
      <c r="X40" s="399"/>
      <c r="Y40" s="399"/>
      <c r="Z40" s="4"/>
      <c r="AA40" s="397"/>
      <c r="AB40" s="399"/>
      <c r="AC40" s="399"/>
      <c r="AD40" s="4"/>
      <c r="AE40" s="397"/>
      <c r="AF40" s="399"/>
      <c r="AG40" s="399"/>
      <c r="AH40" s="399"/>
      <c r="AI40" s="4"/>
      <c r="AJ40" s="397"/>
      <c r="AK40" s="399"/>
      <c r="AL40" s="399"/>
      <c r="AM40" s="4"/>
      <c r="AO40" s="212"/>
      <c r="AP40" s="212"/>
      <c r="AQ40" s="211"/>
      <c r="AR40" s="211"/>
      <c r="AS40" s="211"/>
      <c r="AT40" s="211"/>
      <c r="AU40" s="211"/>
      <c r="AV40" s="211"/>
      <c r="AW40" s="211"/>
      <c r="AX40" s="211"/>
      <c r="AY40" s="211"/>
      <c r="AZ40" s="211"/>
      <c r="BA40" s="211"/>
    </row>
    <row r="41" spans="1:53" x14ac:dyDescent="0.25">
      <c r="A41" s="176"/>
      <c r="B41" s="397"/>
      <c r="C41" s="176"/>
      <c r="D41" s="399"/>
      <c r="E41" s="399"/>
      <c r="F41" s="4"/>
      <c r="G41" s="397"/>
      <c r="H41" s="399"/>
      <c r="I41" s="399"/>
      <c r="J41" s="4"/>
      <c r="K41" s="397"/>
      <c r="L41" s="399"/>
      <c r="M41" s="399"/>
      <c r="N41" s="4"/>
      <c r="O41" s="397"/>
      <c r="P41" s="399"/>
      <c r="Q41" s="399"/>
      <c r="R41" s="4"/>
      <c r="S41" s="397"/>
      <c r="T41" s="399"/>
      <c r="U41" s="399"/>
      <c r="V41" s="4"/>
      <c r="W41" s="397"/>
      <c r="X41" s="399"/>
      <c r="Y41" s="399"/>
      <c r="Z41" s="4"/>
      <c r="AA41" s="397"/>
      <c r="AB41" s="399"/>
      <c r="AC41" s="399"/>
      <c r="AD41" s="4"/>
      <c r="AE41" s="397"/>
      <c r="AF41" s="399"/>
      <c r="AG41" s="399"/>
      <c r="AH41" s="399"/>
      <c r="AI41" s="4"/>
      <c r="AJ41" s="397"/>
      <c r="AK41" s="399"/>
      <c r="AL41" s="399"/>
      <c r="AM41" s="4"/>
      <c r="AO41" s="131"/>
      <c r="AP41" s="131"/>
      <c r="AQ41" s="211"/>
      <c r="AR41" s="211"/>
      <c r="AS41" s="211"/>
      <c r="AT41" s="211"/>
      <c r="AU41" s="211"/>
      <c r="AV41" s="211"/>
      <c r="AW41" s="211"/>
      <c r="AX41" s="211"/>
      <c r="AY41" s="211"/>
      <c r="AZ41" s="211"/>
      <c r="BA41" s="211"/>
    </row>
    <row r="42" spans="1:53" x14ac:dyDescent="0.25">
      <c r="A42" s="397"/>
      <c r="B42" s="397"/>
      <c r="C42" s="118"/>
      <c r="D42" s="415"/>
      <c r="E42" s="415"/>
      <c r="F42" s="4"/>
      <c r="G42" s="118"/>
      <c r="H42" s="415"/>
      <c r="I42" s="415"/>
      <c r="J42" s="4"/>
      <c r="K42" s="118"/>
      <c r="L42" s="415"/>
      <c r="M42" s="415"/>
      <c r="N42" s="4"/>
      <c r="O42" s="118"/>
      <c r="P42" s="415"/>
      <c r="Q42" s="415"/>
      <c r="R42" s="4"/>
      <c r="S42" s="118"/>
      <c r="T42" s="415"/>
      <c r="U42" s="415"/>
      <c r="V42" s="4"/>
      <c r="W42" s="118"/>
      <c r="X42" s="415"/>
      <c r="Y42" s="415"/>
      <c r="Z42" s="415"/>
      <c r="AA42" s="397"/>
      <c r="AB42" s="399"/>
      <c r="AC42" s="399"/>
      <c r="AD42" s="4"/>
      <c r="AE42" s="397"/>
      <c r="AF42" s="399"/>
      <c r="AG42" s="399"/>
      <c r="AH42" s="399"/>
      <c r="AI42" s="4"/>
      <c r="AJ42" s="154"/>
      <c r="AK42" s="399"/>
      <c r="AL42" s="399"/>
      <c r="AM42" s="4"/>
      <c r="AO42" s="131"/>
      <c r="AP42" s="131"/>
      <c r="AQ42" s="211"/>
      <c r="AR42" s="211"/>
      <c r="AS42" s="211"/>
      <c r="AT42" s="211"/>
      <c r="AU42" s="211"/>
      <c r="AV42" s="211"/>
      <c r="AW42" s="211"/>
      <c r="AX42" s="211"/>
      <c r="AY42" s="211"/>
      <c r="AZ42" s="211"/>
      <c r="BA42" s="211"/>
    </row>
    <row r="43" spans="1:53" x14ac:dyDescent="0.25">
      <c r="A43" s="397"/>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9"/>
      <c r="AC43" s="399"/>
      <c r="AD43" s="4"/>
      <c r="AE43" s="397"/>
      <c r="AF43" s="399"/>
      <c r="AG43" s="399"/>
      <c r="AH43" s="399"/>
      <c r="AI43" s="4"/>
      <c r="AJ43" s="397"/>
      <c r="AK43" s="399"/>
      <c r="AL43" s="399"/>
      <c r="AM43" s="4"/>
      <c r="AO43" s="212"/>
      <c r="AP43" s="212"/>
      <c r="AQ43" s="211"/>
      <c r="AR43" s="211"/>
      <c r="AS43" s="211"/>
      <c r="AT43" s="211"/>
      <c r="AU43" s="211"/>
      <c r="AV43" s="211"/>
      <c r="AW43" s="211"/>
      <c r="AX43" s="211"/>
      <c r="AY43" s="211"/>
      <c r="AZ43" s="211"/>
      <c r="BA43" s="211"/>
    </row>
    <row r="44" spans="1:53" x14ac:dyDescent="0.25">
      <c r="G44" s="211"/>
      <c r="K44" s="211"/>
      <c r="O44" s="211"/>
      <c r="S44" s="211"/>
      <c r="W44" s="161"/>
      <c r="AA44" s="161"/>
      <c r="AE44" s="211"/>
      <c r="AN44" s="394"/>
      <c r="AO44" s="131"/>
      <c r="AP44" s="211"/>
      <c r="AQ44" s="211"/>
      <c r="AR44" s="211"/>
      <c r="AS44" s="211"/>
      <c r="AT44" s="211"/>
      <c r="AU44" s="211"/>
      <c r="AV44" s="211"/>
      <c r="AW44" s="211"/>
      <c r="AX44" s="211"/>
      <c r="AY44" s="211"/>
      <c r="AZ44" s="211"/>
      <c r="BA44" s="211"/>
    </row>
    <row r="45" spans="1:53" x14ac:dyDescent="0.25">
      <c r="D45" s="120"/>
      <c r="H45" s="120"/>
      <c r="L45" s="120"/>
      <c r="P45" s="120"/>
      <c r="T45" s="120"/>
      <c r="X45" s="120"/>
      <c r="AB45" s="120"/>
      <c r="AF45" s="120"/>
      <c r="AG45" s="120"/>
      <c r="AK45" s="403"/>
      <c r="AO45" s="131"/>
      <c r="AP45" s="211"/>
      <c r="AQ45" s="211"/>
      <c r="AR45" s="211"/>
      <c r="AS45" s="211"/>
      <c r="AT45" s="211"/>
      <c r="AU45" s="211"/>
      <c r="AV45" s="211"/>
      <c r="AW45" s="211"/>
      <c r="AX45" s="211"/>
      <c r="AY45" s="211"/>
      <c r="AZ45" s="211"/>
      <c r="BA45" s="211"/>
    </row>
    <row r="46" spans="1:53" x14ac:dyDescent="0.25">
      <c r="D46" s="120"/>
      <c r="H46" s="120"/>
      <c r="L46" s="120"/>
      <c r="P46" s="120"/>
      <c r="T46" s="120"/>
      <c r="X46" s="120"/>
      <c r="AB46" s="120"/>
      <c r="AF46" s="120"/>
      <c r="AG46" s="120"/>
      <c r="AK46" s="403"/>
      <c r="AO46" s="131"/>
      <c r="AP46" s="211"/>
      <c r="AQ46" s="211"/>
      <c r="AR46" s="211"/>
      <c r="AS46" s="211"/>
      <c r="AT46" s="211"/>
      <c r="AU46" s="211"/>
      <c r="AV46" s="211"/>
      <c r="AW46" s="211"/>
      <c r="AX46" s="211"/>
      <c r="AY46" s="211"/>
      <c r="AZ46" s="211"/>
      <c r="BA46" s="211"/>
    </row>
    <row r="47" spans="1:53" x14ac:dyDescent="0.25">
      <c r="D47" s="120"/>
      <c r="H47" s="120"/>
      <c r="L47" s="120"/>
      <c r="P47" s="120"/>
      <c r="T47" s="120"/>
      <c r="X47" s="120"/>
      <c r="Z47" s="101"/>
      <c r="AA47" s="101"/>
      <c r="AB47" s="307"/>
      <c r="AC47" s="101"/>
      <c r="AD47" s="101"/>
      <c r="AE47" s="101"/>
      <c r="AF47" s="307"/>
      <c r="AG47" s="307"/>
      <c r="AH47" s="101"/>
      <c r="AI47" s="101"/>
      <c r="AK47" s="307"/>
      <c r="AL47" s="101"/>
      <c r="AM47" s="101"/>
      <c r="AN47" s="101"/>
      <c r="AO47" s="212"/>
      <c r="AP47" s="212"/>
      <c r="AQ47" s="211"/>
      <c r="AR47" s="211"/>
      <c r="AS47" s="211"/>
      <c r="AT47" s="211"/>
      <c r="AU47" s="211"/>
      <c r="AV47" s="211"/>
      <c r="AW47" s="211"/>
      <c r="AX47" s="211"/>
      <c r="AY47" s="211"/>
      <c r="AZ47" s="211"/>
      <c r="BA47" s="211"/>
    </row>
    <row r="48" spans="1:53" x14ac:dyDescent="0.25">
      <c r="D48" s="120"/>
      <c r="H48" s="120"/>
      <c r="L48" s="120"/>
      <c r="P48" s="120"/>
      <c r="T48" s="120"/>
      <c r="X48" s="120"/>
      <c r="AB48" s="120"/>
      <c r="AF48" s="120"/>
      <c r="AG48" s="120"/>
      <c r="AK48" s="403"/>
      <c r="AO48" s="212"/>
      <c r="AP48" s="212"/>
      <c r="AQ48" s="211"/>
      <c r="AR48" s="211"/>
      <c r="AS48" s="211"/>
      <c r="AT48" s="211"/>
      <c r="AU48" s="211"/>
      <c r="AV48" s="211"/>
      <c r="AW48" s="211"/>
      <c r="AX48" s="211"/>
      <c r="AY48" s="211"/>
      <c r="AZ48" s="211"/>
      <c r="BA48" s="211"/>
    </row>
    <row r="49" spans="4:53" x14ac:dyDescent="0.25">
      <c r="D49" s="120"/>
      <c r="H49" s="120"/>
      <c r="L49" s="120"/>
      <c r="P49" s="120"/>
      <c r="T49" s="120"/>
      <c r="X49" s="120"/>
      <c r="AB49" s="120"/>
      <c r="AF49" s="120"/>
      <c r="AG49" s="120"/>
      <c r="AK49" s="403"/>
      <c r="AO49" s="212"/>
      <c r="AP49" s="212"/>
      <c r="AQ49" s="211"/>
      <c r="AR49" s="211"/>
      <c r="AS49" s="211"/>
      <c r="AT49" s="211"/>
      <c r="AU49" s="211"/>
      <c r="AV49" s="211"/>
      <c r="AW49" s="211"/>
      <c r="AX49" s="211"/>
      <c r="AY49" s="211"/>
      <c r="AZ49" s="211"/>
      <c r="BA49" s="211"/>
    </row>
    <row r="50" spans="4:53" x14ac:dyDescent="0.25">
      <c r="D50" s="120"/>
      <c r="H50" s="120"/>
      <c r="L50" s="120"/>
      <c r="P50" s="120"/>
      <c r="T50" s="120"/>
      <c r="X50" s="120"/>
      <c r="AB50" s="120"/>
      <c r="AF50" s="120"/>
      <c r="AG50" s="120"/>
      <c r="AK50" s="403"/>
      <c r="AO50" s="212"/>
      <c r="AP50" s="212"/>
      <c r="AQ50" s="211"/>
      <c r="AR50" s="211"/>
      <c r="AS50" s="211"/>
      <c r="AT50" s="211"/>
      <c r="AU50" s="211"/>
      <c r="AV50" s="211"/>
      <c r="AW50" s="211"/>
      <c r="AX50" s="211"/>
      <c r="AY50" s="211"/>
      <c r="AZ50" s="211"/>
      <c r="BA50" s="211"/>
    </row>
    <row r="51" spans="4:53" x14ac:dyDescent="0.25">
      <c r="D51" s="120"/>
      <c r="H51" s="120"/>
      <c r="L51" s="120"/>
      <c r="P51" s="120"/>
      <c r="T51" s="120"/>
      <c r="X51" s="120"/>
      <c r="AB51" s="120"/>
      <c r="AF51" s="120"/>
      <c r="AG51" s="120"/>
      <c r="AK51" s="403"/>
      <c r="AO51" s="212"/>
      <c r="AP51" s="212"/>
      <c r="AQ51" s="211"/>
      <c r="AR51" s="211"/>
      <c r="AS51" s="211"/>
      <c r="AT51" s="211"/>
      <c r="AU51" s="211"/>
      <c r="AV51" s="211"/>
      <c r="AW51" s="211"/>
      <c r="AX51" s="211"/>
      <c r="AY51" s="211"/>
      <c r="AZ51" s="211"/>
      <c r="BA51" s="211"/>
    </row>
    <row r="52" spans="4:53" x14ac:dyDescent="0.25">
      <c r="D52" s="120"/>
      <c r="H52" s="120"/>
      <c r="L52" s="120"/>
      <c r="P52" s="120"/>
      <c r="T52" s="120"/>
      <c r="X52" s="120"/>
      <c r="AB52" s="120"/>
      <c r="AF52" s="120"/>
      <c r="AG52" s="120"/>
      <c r="AK52" s="403"/>
      <c r="AO52" s="212"/>
      <c r="AP52" s="212"/>
      <c r="AQ52" s="211"/>
      <c r="AR52" s="211"/>
      <c r="AS52" s="211"/>
      <c r="AT52" s="211"/>
      <c r="AU52" s="211"/>
      <c r="AV52" s="211"/>
      <c r="AW52" s="211"/>
      <c r="AX52" s="211"/>
      <c r="AY52" s="211"/>
      <c r="AZ52" s="211"/>
      <c r="BA52" s="211"/>
    </row>
    <row r="53" spans="4:53" x14ac:dyDescent="0.25">
      <c r="D53" s="120"/>
      <c r="H53" s="120"/>
      <c r="L53" s="120"/>
      <c r="P53" s="120"/>
      <c r="T53" s="120"/>
      <c r="X53" s="120"/>
      <c r="AB53" s="120"/>
      <c r="AF53" s="120"/>
      <c r="AG53" s="120"/>
      <c r="AK53" s="403"/>
      <c r="AO53" s="212"/>
      <c r="AP53" s="212"/>
      <c r="AQ53" s="211"/>
      <c r="AR53" s="211"/>
      <c r="AS53" s="211"/>
      <c r="AT53" s="211"/>
      <c r="AU53" s="211"/>
      <c r="AV53" s="211"/>
      <c r="AW53" s="211"/>
      <c r="AX53" s="211"/>
      <c r="AY53" s="211"/>
      <c r="AZ53" s="211"/>
      <c r="BA53" s="211"/>
    </row>
    <row r="54" spans="4:53" x14ac:dyDescent="0.25">
      <c r="D54" s="120"/>
      <c r="H54" s="120"/>
      <c r="L54" s="120"/>
      <c r="P54" s="120"/>
      <c r="T54" s="120"/>
      <c r="X54" s="120"/>
      <c r="AB54" s="120"/>
      <c r="AF54" s="120"/>
      <c r="AG54" s="120"/>
      <c r="AK54" s="403"/>
      <c r="AO54" s="212"/>
      <c r="AP54" s="212"/>
      <c r="AQ54" s="211"/>
      <c r="AR54" s="211"/>
      <c r="AS54" s="211"/>
      <c r="AT54" s="211"/>
      <c r="AU54" s="211"/>
      <c r="AV54" s="211"/>
      <c r="AW54" s="211"/>
      <c r="AX54" s="211"/>
      <c r="AY54" s="211"/>
      <c r="AZ54" s="211"/>
      <c r="BA54" s="211"/>
    </row>
    <row r="55" spans="4:53" x14ac:dyDescent="0.25">
      <c r="D55" s="120"/>
      <c r="H55" s="120"/>
      <c r="L55" s="120"/>
      <c r="P55" s="120"/>
      <c r="T55" s="120"/>
      <c r="X55" s="120"/>
      <c r="AB55" s="120"/>
      <c r="AF55" s="120"/>
      <c r="AG55" s="120"/>
      <c r="AK55" s="403"/>
    </row>
    <row r="56" spans="4:53" x14ac:dyDescent="0.25">
      <c r="D56" s="120"/>
      <c r="H56" s="120"/>
      <c r="L56" s="120"/>
      <c r="P56" s="120"/>
      <c r="T56" s="120"/>
      <c r="X56" s="120"/>
      <c r="AB56" s="120"/>
      <c r="AF56" s="120"/>
      <c r="AG56" s="120"/>
      <c r="AK56" s="403"/>
    </row>
    <row r="57" spans="4:53" x14ac:dyDescent="0.25">
      <c r="D57" s="120"/>
      <c r="H57" s="120"/>
      <c r="L57" s="120"/>
      <c r="P57" s="120"/>
      <c r="T57" s="120"/>
      <c r="X57" s="120"/>
      <c r="AB57" s="120"/>
      <c r="AF57" s="120"/>
      <c r="AG57" s="120"/>
      <c r="AK57" s="403"/>
    </row>
    <row r="58" spans="4:53" x14ac:dyDescent="0.25">
      <c r="D58" s="120"/>
      <c r="H58" s="120"/>
      <c r="L58" s="120"/>
      <c r="P58" s="120"/>
      <c r="T58" s="120"/>
      <c r="X58" s="120"/>
      <c r="AB58" s="120"/>
      <c r="AF58" s="120"/>
      <c r="AG58" s="120"/>
      <c r="AK58" s="403"/>
    </row>
    <row r="59" spans="4:53" x14ac:dyDescent="0.25">
      <c r="D59" s="120"/>
      <c r="H59" s="120"/>
      <c r="L59" s="120"/>
      <c r="P59" s="120"/>
      <c r="T59" s="120"/>
      <c r="X59" s="120"/>
      <c r="AB59" s="120"/>
      <c r="AF59" s="120"/>
      <c r="AG59" s="120"/>
      <c r="AK59" s="403"/>
    </row>
    <row r="60" spans="4:53" x14ac:dyDescent="0.25">
      <c r="D60" s="120"/>
      <c r="H60" s="120"/>
      <c r="L60" s="120"/>
      <c r="P60" s="120"/>
      <c r="T60" s="120"/>
      <c r="X60" s="120"/>
      <c r="AB60" s="120"/>
      <c r="AF60" s="120"/>
      <c r="AG60" s="120"/>
      <c r="AK60" s="403"/>
    </row>
    <row r="61" spans="4:53" x14ac:dyDescent="0.25">
      <c r="D61" s="120"/>
      <c r="H61" s="120"/>
      <c r="L61" s="120"/>
      <c r="P61" s="120"/>
      <c r="T61" s="120"/>
      <c r="X61" s="120"/>
      <c r="AB61" s="120"/>
      <c r="AF61" s="120"/>
      <c r="AG61" s="120"/>
      <c r="AK61" s="403"/>
    </row>
    <row r="62" spans="4:53" x14ac:dyDescent="0.25">
      <c r="D62" s="120"/>
      <c r="H62" s="120"/>
      <c r="L62" s="120"/>
      <c r="P62" s="120"/>
      <c r="T62" s="120"/>
      <c r="X62" s="120"/>
      <c r="AB62" s="120"/>
      <c r="AF62" s="120"/>
      <c r="AG62" s="120"/>
      <c r="AK62" s="403"/>
    </row>
    <row r="63" spans="4:53" x14ac:dyDescent="0.25">
      <c r="D63" s="120"/>
      <c r="H63" s="120"/>
      <c r="L63" s="120"/>
      <c r="P63" s="120"/>
      <c r="T63" s="120"/>
      <c r="X63" s="120"/>
      <c r="AB63" s="120"/>
      <c r="AF63" s="120"/>
      <c r="AG63" s="120"/>
      <c r="AK63" s="403"/>
    </row>
    <row r="64" spans="4:53"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6" orientation="landscape" r:id="rId1"/>
  <headerFooter alignWithMargins="0">
    <oddHeader>&amp;C&amp;"-,Bold"Proposed Budget &amp; Analysis Report for FY20</oddHeader>
    <oddFooter>&amp;C&amp;D&amp;T&amp;R&amp;A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2:AR368"/>
  <sheetViews>
    <sheetView zoomScaleNormal="100" zoomScaleSheetLayoutView="100" workbookViewId="0">
      <pane xSplit="3" ySplit="4" topLeftCell="D5" activePane="bottomRight" state="frozen"/>
      <selection activeCell="C15" sqref="C15"/>
      <selection pane="topRight" activeCell="C15" sqref="C15"/>
      <selection pane="bottomLeft" activeCell="C15" sqref="C15"/>
      <selection pane="bottomRight" activeCell="C15" sqref="C15"/>
    </sheetView>
  </sheetViews>
  <sheetFormatPr defaultRowHeight="13.5" x14ac:dyDescent="0.25"/>
  <cols>
    <col min="1" max="1" width="19" style="161" customWidth="1"/>
    <col min="2" max="2" width="5" style="161" customWidth="1"/>
    <col min="3" max="3" width="31.85546875" style="161" customWidth="1"/>
    <col min="4" max="4" width="13.28515625" style="211" hidden="1" customWidth="1"/>
    <col min="5" max="5" width="11.42578125" style="211" hidden="1" customWidth="1"/>
    <col min="6" max="6" width="7.7109375" style="211" hidden="1" customWidth="1"/>
    <col min="7" max="7" width="1.85546875" style="213" hidden="1" customWidth="1"/>
    <col min="8" max="8" width="13.28515625" style="211" hidden="1" customWidth="1"/>
    <col min="9" max="9" width="11.42578125" style="211" hidden="1" customWidth="1"/>
    <col min="10" max="10" width="7.7109375" style="211" hidden="1" customWidth="1"/>
    <col min="11" max="11" width="1.85546875" style="213" hidden="1" customWidth="1"/>
    <col min="12" max="12" width="13.28515625" style="211" hidden="1" customWidth="1"/>
    <col min="13" max="13" width="11.42578125" style="211" hidden="1" customWidth="1"/>
    <col min="14" max="14" width="7.7109375" style="211" hidden="1" customWidth="1"/>
    <col min="15" max="15" width="1.85546875" style="213" hidden="1" customWidth="1"/>
    <col min="16" max="16" width="13.28515625" style="211" hidden="1" customWidth="1"/>
    <col min="17" max="17" width="11.42578125" style="211" hidden="1" customWidth="1"/>
    <col min="18" max="18" width="7.7109375" style="211" hidden="1" customWidth="1"/>
    <col min="19" max="19" width="1.85546875" style="213" hidden="1" customWidth="1"/>
    <col min="20" max="20" width="13.28515625" style="161" hidden="1" customWidth="1"/>
    <col min="21" max="21" width="11.42578125" style="161" hidden="1" customWidth="1"/>
    <col min="22" max="22" width="8.28515625" style="161" hidden="1" customWidth="1"/>
    <col min="23" max="23" width="1.85546875" style="103" hidden="1" customWidth="1"/>
    <col min="24" max="25" width="11.5703125" style="161" hidden="1" customWidth="1"/>
    <col min="26" max="26" width="7.7109375" style="161" hidden="1" customWidth="1"/>
    <col min="27" max="27" width="1.85546875" style="103" hidden="1" customWidth="1"/>
    <col min="28" max="29" width="11.5703125" style="161" customWidth="1"/>
    <col min="30" max="30" width="9.28515625" style="161" bestFit="1" customWidth="1"/>
    <col min="31" max="31" width="1.85546875" style="213" customWidth="1"/>
    <col min="32" max="32" width="11.5703125" style="211" hidden="1" customWidth="1"/>
    <col min="33" max="34" width="11.5703125" style="211" customWidth="1"/>
    <col min="35" max="35" width="8.28515625" style="211" bestFit="1" customWidth="1"/>
    <col min="36" max="36" width="1.85546875" style="161" customWidth="1"/>
    <col min="37" max="38" width="11.5703125" style="394" customWidth="1"/>
    <col min="39" max="39" width="8.5703125" style="394" bestFit="1" customWidth="1"/>
    <col min="40" max="40" width="1.85546875" style="397" customWidth="1"/>
    <col min="41" max="41" width="13.5703125" style="104" customWidth="1"/>
    <col min="42" max="42" width="12.28515625" style="104" bestFit="1" customWidth="1"/>
    <col min="43" max="43" width="9.28515625" style="161" bestFit="1" customWidth="1"/>
    <col min="44" max="44" width="28.5703125" style="161" customWidth="1"/>
    <col min="45" max="16384" width="9.140625" style="161"/>
  </cols>
  <sheetData>
    <row r="2" spans="1:44" x14ac:dyDescent="0.25">
      <c r="AJ2" s="397"/>
    </row>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118"/>
      <c r="AK3" s="807" t="s">
        <v>1592</v>
      </c>
      <c r="AL3" s="808"/>
      <c r="AM3" s="809"/>
      <c r="AN3" s="118"/>
      <c r="AO3" s="805" t="s">
        <v>1593</v>
      </c>
      <c r="AP3" s="805"/>
      <c r="AQ3" s="805"/>
      <c r="AR3" s="805"/>
    </row>
    <row r="4" spans="1:44" ht="27" x14ac:dyDescent="0.25">
      <c r="A4" s="271"/>
      <c r="B4" s="271"/>
      <c r="C4" s="308" t="s">
        <v>1986</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397"/>
      <c r="AK4" s="106" t="s">
        <v>98</v>
      </c>
      <c r="AL4" s="439" t="s">
        <v>1714</v>
      </c>
      <c r="AM4" s="106" t="s">
        <v>273</v>
      </c>
      <c r="AO4" s="107" t="s">
        <v>274</v>
      </c>
      <c r="AP4" s="108" t="s">
        <v>107</v>
      </c>
      <c r="AQ4" s="109" t="s">
        <v>28</v>
      </c>
      <c r="AR4" s="110" t="s">
        <v>275</v>
      </c>
    </row>
    <row r="5" spans="1:44" x14ac:dyDescent="0.25">
      <c r="C5" s="111" t="s">
        <v>276</v>
      </c>
      <c r="AJ5" s="397"/>
      <c r="AR5" s="111"/>
    </row>
    <row r="6" spans="1:44" x14ac:dyDescent="0.25">
      <c r="A6" s="111" t="s">
        <v>272</v>
      </c>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397"/>
      <c r="AK6" s="112"/>
      <c r="AL6" s="112"/>
      <c r="AM6" s="396"/>
      <c r="AQ6" s="80"/>
      <c r="AR6" s="2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f>SUM(AF6)</f>
        <v>0</v>
      </c>
      <c r="AG7" s="227">
        <f>SUM(AG6)</f>
        <v>0</v>
      </c>
      <c r="AH7" s="225">
        <f>SUM(AH6:AH6)</f>
        <v>0</v>
      </c>
      <c r="AI7" s="226"/>
      <c r="AJ7" s="224"/>
      <c r="AK7" s="225">
        <f>SUM(AK6:AK6)</f>
        <v>0</v>
      </c>
      <c r="AL7" s="225">
        <f>SUM(AL6:AL6)</f>
        <v>0</v>
      </c>
      <c r="AM7" s="226"/>
      <c r="AN7" s="224"/>
      <c r="AO7" s="227">
        <f>SUM(AO6)</f>
        <v>0</v>
      </c>
      <c r="AP7" s="225">
        <f>SUM(AP6)</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397"/>
      <c r="AK8" s="112"/>
      <c r="AL8" s="112"/>
      <c r="AM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397"/>
      <c r="AK9" s="112"/>
      <c r="AL9" s="112"/>
      <c r="AM9" s="396"/>
      <c r="AQ9" s="80"/>
      <c r="AR9" s="111"/>
    </row>
    <row r="10" spans="1:44" s="213" customFormat="1" x14ac:dyDescent="0.25">
      <c r="A10" s="211" t="s">
        <v>751</v>
      </c>
      <c r="B10" s="211">
        <v>5687</v>
      </c>
      <c r="C10" s="404" t="s">
        <v>1802</v>
      </c>
      <c r="D10" s="112">
        <v>67575.09</v>
      </c>
      <c r="E10" s="112">
        <v>66637.149999999994</v>
      </c>
      <c r="F10" s="216"/>
      <c r="H10" s="112">
        <v>69670</v>
      </c>
      <c r="I10" s="112">
        <v>69006.58</v>
      </c>
      <c r="J10" s="216">
        <f>(H10-D10)/D10</f>
        <v>3.1001216572556597E-2</v>
      </c>
      <c r="L10" s="112">
        <v>64804.05</v>
      </c>
      <c r="M10" s="112">
        <v>67308.070000000007</v>
      </c>
      <c r="N10" s="396">
        <f>(L10-H10)/H10</f>
        <v>-6.9842830486579549E-2</v>
      </c>
      <c r="P10" s="112">
        <v>66959.42</v>
      </c>
      <c r="Q10" s="112">
        <v>66959.42</v>
      </c>
      <c r="R10" s="396">
        <f>(P10-L10)/L10</f>
        <v>3.3259803978300667E-2</v>
      </c>
      <c r="T10" s="112">
        <v>72546.81</v>
      </c>
      <c r="U10" s="112">
        <v>72546.81</v>
      </c>
      <c r="V10" s="396">
        <f>(T10-P10)/P10</f>
        <v>8.3444420516187265E-2</v>
      </c>
      <c r="X10" s="112">
        <v>78732.639999999999</v>
      </c>
      <c r="Y10" s="112">
        <v>78732.639999999999</v>
      </c>
      <c r="Z10" s="396">
        <f>(X10-T10)/T10</f>
        <v>8.5266740191608723E-2</v>
      </c>
      <c r="AB10" s="372">
        <v>80815.69</v>
      </c>
      <c r="AC10" s="112">
        <v>80815.69</v>
      </c>
      <c r="AD10" s="396">
        <f>(AB10-X10)/X10</f>
        <v>2.6457260927615318E-2</v>
      </c>
      <c r="AF10" s="163">
        <v>83912.26</v>
      </c>
      <c r="AG10" s="372">
        <v>83912.26</v>
      </c>
      <c r="AH10" s="245">
        <v>83912.26</v>
      </c>
      <c r="AI10" s="396">
        <f>(AG10-AB10)/AB10</f>
        <v>3.8316445729783315E-2</v>
      </c>
      <c r="AJ10" s="397"/>
      <c r="AK10" s="372">
        <v>85232.05</v>
      </c>
      <c r="AL10" s="112">
        <v>85232.05</v>
      </c>
      <c r="AM10" s="396">
        <f>(AK10-AG10)/AG10</f>
        <v>1.5728214208507889E-2</v>
      </c>
      <c r="AN10" s="397"/>
      <c r="AO10" s="372">
        <v>82556.39</v>
      </c>
      <c r="AP10" s="112">
        <f>AO10-AK10</f>
        <v>-2675.6600000000035</v>
      </c>
      <c r="AQ10" s="396">
        <f t="shared" ref="AQ10:AQ15" si="0">(AO10-AK10)/AK10</f>
        <v>-3.1392651003935769E-2</v>
      </c>
      <c r="AR10" s="400" t="s">
        <v>1809</v>
      </c>
    </row>
    <row r="11" spans="1:44" s="213" customFormat="1" x14ac:dyDescent="0.25">
      <c r="A11" s="211" t="s">
        <v>752</v>
      </c>
      <c r="B11" s="211">
        <v>5688</v>
      </c>
      <c r="C11" s="404" t="s">
        <v>1803</v>
      </c>
      <c r="D11" s="112">
        <v>28005.37</v>
      </c>
      <c r="E11" s="112">
        <v>27393.18</v>
      </c>
      <c r="F11" s="216"/>
      <c r="H11" s="112">
        <v>29114</v>
      </c>
      <c r="I11" s="112">
        <v>28775.9</v>
      </c>
      <c r="J11" s="396">
        <f>(H11-D11)/D11</f>
        <v>3.9586336477611297E-2</v>
      </c>
      <c r="L11" s="112">
        <v>27908.94</v>
      </c>
      <c r="M11" s="112">
        <v>23864.43</v>
      </c>
      <c r="N11" s="396">
        <f>(L11-H11)/H11</f>
        <v>-4.1391083327608755E-2</v>
      </c>
      <c r="P11" s="112">
        <v>31524.38</v>
      </c>
      <c r="Q11" s="112">
        <v>31354.41</v>
      </c>
      <c r="R11" s="396">
        <f>(P11-L11)/L11</f>
        <v>0.12954415323548665</v>
      </c>
      <c r="T11" s="112">
        <v>34879.58</v>
      </c>
      <c r="U11" s="112">
        <v>31763</v>
      </c>
      <c r="V11" s="396">
        <f>(T11-P11)/P11</f>
        <v>0.1064319107941219</v>
      </c>
      <c r="X11" s="112">
        <v>36819.33</v>
      </c>
      <c r="Y11" s="112">
        <v>34254.080000000002</v>
      </c>
      <c r="Z11" s="396">
        <f>(X11-T11)/T11</f>
        <v>5.561276827301246E-2</v>
      </c>
      <c r="AB11" s="372">
        <v>40395.269999999997</v>
      </c>
      <c r="AC11" s="112">
        <v>36024.800000000003</v>
      </c>
      <c r="AD11" s="396">
        <f>(AB11-X11)/X11</f>
        <v>9.7121267551582138E-2</v>
      </c>
      <c r="AF11" s="245">
        <v>43054.44</v>
      </c>
      <c r="AG11" s="372">
        <v>43054.44</v>
      </c>
      <c r="AH11" s="245">
        <v>35814.21</v>
      </c>
      <c r="AI11" s="396">
        <f>(AG11-AB11)/AB11</f>
        <v>6.5828746781492128E-2</v>
      </c>
      <c r="AJ11" s="397"/>
      <c r="AK11" s="372">
        <v>49469.120000000003</v>
      </c>
      <c r="AL11" s="112">
        <v>37236.29</v>
      </c>
      <c r="AM11" s="396">
        <f t="shared" ref="AM11:AM17" si="1">(AK11-AG11)/AG11</f>
        <v>0.1489899764112598</v>
      </c>
      <c r="AN11" s="397"/>
      <c r="AO11" s="372">
        <v>56913.74</v>
      </c>
      <c r="AP11" s="112">
        <f>AO11-AK11</f>
        <v>7444.6199999999953</v>
      </c>
      <c r="AQ11" s="396">
        <f t="shared" si="0"/>
        <v>0.15049024522772983</v>
      </c>
      <c r="AR11" s="524" t="s">
        <v>1810</v>
      </c>
    </row>
    <row r="12" spans="1:44" s="213" customFormat="1" x14ac:dyDescent="0.25">
      <c r="A12" s="211" t="s">
        <v>753</v>
      </c>
      <c r="B12" s="211">
        <v>5696</v>
      </c>
      <c r="C12" s="522" t="s">
        <v>2067</v>
      </c>
      <c r="D12" s="112">
        <v>13670.08</v>
      </c>
      <c r="E12" s="112">
        <v>13670.16</v>
      </c>
      <c r="F12" s="216"/>
      <c r="H12" s="112">
        <v>13970</v>
      </c>
      <c r="I12" s="112">
        <v>13969.32</v>
      </c>
      <c r="J12" s="396">
        <f>(H12-D12)/D12</f>
        <v>2.1939886233291982E-2</v>
      </c>
      <c r="L12" s="112">
        <v>17405.490000000002</v>
      </c>
      <c r="M12" s="112">
        <v>17405.490000000002</v>
      </c>
      <c r="N12" s="396">
        <f>(L12-H12)/H12</f>
        <v>0.24591911238367942</v>
      </c>
      <c r="P12" s="112">
        <v>18049.18</v>
      </c>
      <c r="Q12" s="112">
        <v>18049.18</v>
      </c>
      <c r="R12" s="396">
        <f>(P12-L12)/L12</f>
        <v>3.6982009699238497E-2</v>
      </c>
      <c r="T12" s="112">
        <v>19939.169999999998</v>
      </c>
      <c r="U12" s="112">
        <v>19939.169999999998</v>
      </c>
      <c r="V12" s="396">
        <f>(T12-P12)/P12</f>
        <v>0.10471334431813512</v>
      </c>
      <c r="X12" s="112">
        <v>39483.58</v>
      </c>
      <c r="Y12" s="112">
        <v>39483.58</v>
      </c>
      <c r="Z12" s="396">
        <f>(X12-T12)/T12</f>
        <v>0.9802017837252005</v>
      </c>
      <c r="AB12" s="112">
        <v>48357.41</v>
      </c>
      <c r="AC12" s="112">
        <v>40895.769999999997</v>
      </c>
      <c r="AD12" s="396">
        <f>(AB12-X12)/X12</f>
        <v>0.22474735067083587</v>
      </c>
      <c r="AF12" s="245">
        <v>54206</v>
      </c>
      <c r="AG12" s="245">
        <v>54206</v>
      </c>
      <c r="AH12" s="212">
        <v>50072.59</v>
      </c>
      <c r="AI12" s="396">
        <f>(AG12-AB12)/AB12</f>
        <v>0.12094506302136521</v>
      </c>
      <c r="AJ12" s="397"/>
      <c r="AK12" s="112">
        <v>68229.070000000007</v>
      </c>
      <c r="AL12" s="112">
        <v>34115</v>
      </c>
      <c r="AM12" s="396">
        <f t="shared" si="1"/>
        <v>0.25869959045124169</v>
      </c>
      <c r="AN12" s="397"/>
      <c r="AO12" s="112">
        <v>67533.490000000005</v>
      </c>
      <c r="AP12" s="112">
        <f>AO12-AK12</f>
        <v>-695.58000000000175</v>
      </c>
      <c r="AQ12" s="396">
        <f t="shared" si="0"/>
        <v>-1.0194774749238142E-2</v>
      </c>
      <c r="AR12" s="524" t="s">
        <v>2068</v>
      </c>
    </row>
    <row r="13" spans="1:44" s="211" customFormat="1" x14ac:dyDescent="0.25">
      <c r="A13" s="395" t="s">
        <v>1808</v>
      </c>
      <c r="B13" s="211">
        <v>5268</v>
      </c>
      <c r="C13" s="341" t="s">
        <v>2064</v>
      </c>
      <c r="D13" s="112">
        <v>0</v>
      </c>
      <c r="E13" s="112">
        <v>0</v>
      </c>
      <c r="F13" s="216"/>
      <c r="G13" s="213"/>
      <c r="H13" s="112">
        <v>0</v>
      </c>
      <c r="I13" s="112">
        <v>0</v>
      </c>
      <c r="J13" s="216"/>
      <c r="K13" s="213"/>
      <c r="L13" s="112">
        <v>0</v>
      </c>
      <c r="M13" s="112">
        <v>0</v>
      </c>
      <c r="N13" s="396"/>
      <c r="O13" s="213"/>
      <c r="P13" s="112">
        <v>0</v>
      </c>
      <c r="Q13" s="112">
        <v>0</v>
      </c>
      <c r="R13" s="396"/>
      <c r="S13" s="213"/>
      <c r="T13" s="112">
        <v>0</v>
      </c>
      <c r="U13" s="112">
        <v>0</v>
      </c>
      <c r="V13" s="396"/>
      <c r="W13" s="213"/>
      <c r="X13" s="293"/>
      <c r="Y13" s="112">
        <v>0</v>
      </c>
      <c r="Z13" s="396"/>
      <c r="AA13" s="213"/>
      <c r="AB13" s="112"/>
      <c r="AC13" s="112"/>
      <c r="AD13" s="396"/>
      <c r="AE13" s="213"/>
      <c r="AF13" s="339">
        <v>22091.279999999999</v>
      </c>
      <c r="AG13" s="339">
        <v>22091.279999999999</v>
      </c>
      <c r="AH13" s="212">
        <v>22091.279999999999</v>
      </c>
      <c r="AI13" s="396"/>
      <c r="AJ13" s="397"/>
      <c r="AK13" s="112">
        <v>21558.959999999999</v>
      </c>
      <c r="AL13" s="112">
        <v>1907.48</v>
      </c>
      <c r="AM13" s="396">
        <f>(AK13-AG13)/AG13</f>
        <v>-2.4096385542168662E-2</v>
      </c>
      <c r="AN13" s="397"/>
      <c r="AO13" s="112">
        <v>21026.639999999999</v>
      </c>
      <c r="AP13" s="112">
        <f>AO13-AK13</f>
        <v>-532.31999999999971</v>
      </c>
      <c r="AQ13" s="396">
        <f t="shared" si="0"/>
        <v>-2.4691358024691346E-2</v>
      </c>
      <c r="AR13" s="196" t="s">
        <v>2065</v>
      </c>
    </row>
    <row r="14" spans="1:44" s="213" customFormat="1" x14ac:dyDescent="0.25">
      <c r="A14" s="395" t="s">
        <v>1807</v>
      </c>
      <c r="B14" s="211">
        <v>5267</v>
      </c>
      <c r="C14" s="349" t="s">
        <v>1804</v>
      </c>
      <c r="D14" s="112">
        <v>0</v>
      </c>
      <c r="E14" s="112">
        <v>0</v>
      </c>
      <c r="F14" s="216"/>
      <c r="H14" s="112">
        <v>0</v>
      </c>
      <c r="I14" s="112">
        <v>0</v>
      </c>
      <c r="J14" s="216"/>
      <c r="L14" s="112">
        <v>0</v>
      </c>
      <c r="M14" s="112">
        <v>0</v>
      </c>
      <c r="N14" s="396"/>
      <c r="P14" s="112">
        <v>0</v>
      </c>
      <c r="Q14" s="112">
        <v>0</v>
      </c>
      <c r="R14" s="396"/>
      <c r="T14" s="112">
        <v>0</v>
      </c>
      <c r="U14" s="112">
        <v>0</v>
      </c>
      <c r="V14" s="396"/>
      <c r="X14" s="112">
        <v>0</v>
      </c>
      <c r="Y14" s="112">
        <v>0</v>
      </c>
      <c r="Z14" s="396"/>
      <c r="AB14" s="112">
        <v>34236.54</v>
      </c>
      <c r="AC14" s="112">
        <v>34113.5</v>
      </c>
      <c r="AD14" s="396">
        <v>0.22900000000000001</v>
      </c>
      <c r="AF14" s="348">
        <v>36969</v>
      </c>
      <c r="AG14" s="348">
        <v>36969</v>
      </c>
      <c r="AH14" s="212">
        <v>36969.279999999999</v>
      </c>
      <c r="AI14" s="396">
        <f>(AG14-AB14)/AB14</f>
        <v>7.9811219241196663E-2</v>
      </c>
      <c r="AJ14" s="397"/>
      <c r="AK14" s="112">
        <v>42760</v>
      </c>
      <c r="AL14" s="112">
        <v>21380</v>
      </c>
      <c r="AM14" s="396">
        <f t="shared" si="1"/>
        <v>0.15664475641753903</v>
      </c>
      <c r="AN14" s="397"/>
      <c r="AO14" s="112">
        <v>42115</v>
      </c>
      <c r="AP14" s="112">
        <f>AO14-AK14</f>
        <v>-645</v>
      </c>
      <c r="AQ14" s="396">
        <f t="shared" si="0"/>
        <v>-1.5084190832553789E-2</v>
      </c>
      <c r="AR14" s="524" t="s">
        <v>1804</v>
      </c>
    </row>
    <row r="15" spans="1:44" s="114" customFormat="1" x14ac:dyDescent="0.25">
      <c r="A15" s="219"/>
      <c r="B15" s="219"/>
      <c r="C15" s="219" t="s">
        <v>279</v>
      </c>
      <c r="D15" s="220">
        <f>SUM(D10:D14)</f>
        <v>109250.54</v>
      </c>
      <c r="E15" s="220">
        <f>SUM(E10:E14)</f>
        <v>107700.48999999999</v>
      </c>
      <c r="F15" s="221"/>
      <c r="G15" s="219"/>
      <c r="H15" s="220">
        <f>SUM(H10:H14)</f>
        <v>112754</v>
      </c>
      <c r="I15" s="220">
        <f>SUM(I10:I14)</f>
        <v>111751.80000000002</v>
      </c>
      <c r="J15" s="221">
        <f>(H15-D15)/D15</f>
        <v>3.2068125246795177E-2</v>
      </c>
      <c r="K15" s="219"/>
      <c r="L15" s="220">
        <f>SUM(L10:L14)</f>
        <v>110118.48000000001</v>
      </c>
      <c r="M15" s="220">
        <f>SUM(M10:M14)</f>
        <v>108577.99</v>
      </c>
      <c r="N15" s="221">
        <f>(L15-H15)/H15</f>
        <v>-2.3374070986395067E-2</v>
      </c>
      <c r="O15" s="219"/>
      <c r="P15" s="220">
        <f>SUM(P10:P14)</f>
        <v>116532.98000000001</v>
      </c>
      <c r="Q15" s="220">
        <f>SUM(Q10:Q14)</f>
        <v>116363.01000000001</v>
      </c>
      <c r="R15" s="221">
        <f>(P15-L15)/L15</f>
        <v>5.8250894854342337E-2</v>
      </c>
      <c r="S15" s="219"/>
      <c r="T15" s="220">
        <f>SUM(T10:T14)</f>
        <v>127365.56</v>
      </c>
      <c r="U15" s="220">
        <f>SUM(U10:U14)</f>
        <v>124248.98</v>
      </c>
      <c r="V15" s="221">
        <f>(T15-P15)/P15</f>
        <v>9.2957204046442352E-2</v>
      </c>
      <c r="W15" s="219"/>
      <c r="X15" s="220">
        <f>SUM(X10:X14)</f>
        <v>155035.54999999999</v>
      </c>
      <c r="Y15" s="220">
        <f>SUM(Y10:Y14)</f>
        <v>152470.29999999999</v>
      </c>
      <c r="Z15" s="221">
        <f>(X15-T15)/T15</f>
        <v>0.21724860315457328</v>
      </c>
      <c r="AA15" s="219"/>
      <c r="AB15" s="220">
        <f>SUM(AB10:AB14)</f>
        <v>203804.91</v>
      </c>
      <c r="AC15" s="220">
        <f>SUM(AC10:AC14)</f>
        <v>191849.76</v>
      </c>
      <c r="AD15" s="221">
        <f>(AB15-X15)/X15</f>
        <v>0.3145688843623286</v>
      </c>
      <c r="AE15" s="219"/>
      <c r="AF15" s="220">
        <f>SUM(AF10:AF14)</f>
        <v>240232.98</v>
      </c>
      <c r="AG15" s="220">
        <f>SUM(AG10:AG14)</f>
        <v>240232.98</v>
      </c>
      <c r="AH15" s="220">
        <f>SUM(AH10:AH14)</f>
        <v>228859.62</v>
      </c>
      <c r="AI15" s="221">
        <f>(AG15-AB15)/AB15</f>
        <v>0.17873990376384949</v>
      </c>
      <c r="AJ15" s="219"/>
      <c r="AK15" s="401">
        <f>SUM(AK10:AK14)</f>
        <v>267249.2</v>
      </c>
      <c r="AL15" s="401">
        <f>SUM(AL10:AL14)</f>
        <v>179870.82</v>
      </c>
      <c r="AM15" s="221">
        <f t="shared" si="1"/>
        <v>0.11245841432762479</v>
      </c>
      <c r="AN15" s="219"/>
      <c r="AO15" s="223">
        <f>SUM(AO10:AO14)</f>
        <v>270145.26</v>
      </c>
      <c r="AP15" s="223">
        <f>SUM(AP10:AP14)</f>
        <v>2896.0599999999904</v>
      </c>
      <c r="AQ15" s="221">
        <f t="shared" si="0"/>
        <v>1.0836552550952436E-2</v>
      </c>
      <c r="AR15" s="219"/>
    </row>
    <row r="16" spans="1:44" s="211" customFormat="1" x14ac:dyDescent="0.25">
      <c r="D16" s="112"/>
      <c r="E16" s="112"/>
      <c r="F16" s="216"/>
      <c r="G16" s="213"/>
      <c r="H16" s="112"/>
      <c r="I16" s="112"/>
      <c r="J16" s="216"/>
      <c r="K16" s="213"/>
      <c r="L16" s="112"/>
      <c r="M16" s="112"/>
      <c r="N16" s="396"/>
      <c r="O16" s="213"/>
      <c r="P16" s="112"/>
      <c r="Q16" s="112"/>
      <c r="R16" s="396"/>
      <c r="S16" s="213"/>
      <c r="T16" s="112"/>
      <c r="U16" s="112"/>
      <c r="V16" s="396"/>
      <c r="W16" s="213"/>
      <c r="X16" s="112"/>
      <c r="Y16" s="112"/>
      <c r="Z16" s="396"/>
      <c r="AA16" s="213"/>
      <c r="AB16" s="112"/>
      <c r="AC16" s="112"/>
      <c r="AD16" s="396"/>
      <c r="AE16" s="213"/>
      <c r="AF16" s="112"/>
      <c r="AG16" s="112"/>
      <c r="AH16" s="112"/>
      <c r="AI16" s="396"/>
      <c r="AJ16" s="397"/>
      <c r="AK16" s="112"/>
      <c r="AL16" s="112"/>
      <c r="AM16" s="396"/>
      <c r="AN16" s="397"/>
      <c r="AO16" s="212"/>
      <c r="AP16" s="112"/>
      <c r="AQ16" s="396"/>
    </row>
    <row r="17" spans="1:44" s="114" customFormat="1" ht="12.75" x14ac:dyDescent="0.2">
      <c r="A17" s="228"/>
      <c r="B17" s="228"/>
      <c r="C17" s="233" t="s">
        <v>280</v>
      </c>
      <c r="D17" s="230">
        <f>D7+D15</f>
        <v>109250.54</v>
      </c>
      <c r="E17" s="230">
        <f>E7+E15</f>
        <v>107700.48999999999</v>
      </c>
      <c r="F17" s="231"/>
      <c r="G17" s="228"/>
      <c r="H17" s="230">
        <f>H7+H15</f>
        <v>112754</v>
      </c>
      <c r="I17" s="230">
        <f>I7+I15</f>
        <v>111751.80000000002</v>
      </c>
      <c r="J17" s="231">
        <f>(H17-D17)/D17</f>
        <v>3.2068125246795177E-2</v>
      </c>
      <c r="K17" s="228"/>
      <c r="L17" s="230">
        <f>L7+L15</f>
        <v>110118.48000000001</v>
      </c>
      <c r="M17" s="230">
        <f>M7+M15</f>
        <v>108577.99</v>
      </c>
      <c r="N17" s="231">
        <f>(L17-H17)/H17</f>
        <v>-2.3374070986395067E-2</v>
      </c>
      <c r="O17" s="228"/>
      <c r="P17" s="230">
        <f>P7+P15</f>
        <v>116532.98000000001</v>
      </c>
      <c r="Q17" s="230">
        <f>Q7+Q15</f>
        <v>116363.01000000001</v>
      </c>
      <c r="R17" s="231">
        <f>(P17-L17)/L17</f>
        <v>5.8250894854342337E-2</v>
      </c>
      <c r="S17" s="228"/>
      <c r="T17" s="230">
        <f>T7+T15</f>
        <v>127365.56</v>
      </c>
      <c r="U17" s="230">
        <f>U7+U15</f>
        <v>124248.98</v>
      </c>
      <c r="V17" s="231">
        <f>(T17-P17)/P17</f>
        <v>9.2957204046442352E-2</v>
      </c>
      <c r="W17" s="228"/>
      <c r="X17" s="230">
        <f>X7+X15</f>
        <v>155035.54999999999</v>
      </c>
      <c r="Y17" s="230">
        <f>Y7+Y15</f>
        <v>152470.29999999999</v>
      </c>
      <c r="Z17" s="231">
        <f>(X17-T17)/T17</f>
        <v>0.21724860315457328</v>
      </c>
      <c r="AA17" s="228"/>
      <c r="AB17" s="230">
        <f>AB7+AB15</f>
        <v>203804.91</v>
      </c>
      <c r="AC17" s="230">
        <f>AC7+AC15</f>
        <v>191849.76</v>
      </c>
      <c r="AD17" s="231">
        <f>(AB17-X17)/X17</f>
        <v>0.3145688843623286</v>
      </c>
      <c r="AE17" s="228"/>
      <c r="AF17" s="230">
        <f>AF7+AF15</f>
        <v>240232.98</v>
      </c>
      <c r="AG17" s="230">
        <f>AG7+AG15</f>
        <v>240232.98</v>
      </c>
      <c r="AH17" s="230">
        <f>AH7+AH15</f>
        <v>228859.62</v>
      </c>
      <c r="AI17" s="231">
        <f>(AG17-AB17)/AB17</f>
        <v>0.17873990376384949</v>
      </c>
      <c r="AJ17" s="228"/>
      <c r="AK17" s="402">
        <f>AK7+AK15</f>
        <v>267249.2</v>
      </c>
      <c r="AL17" s="402">
        <f>AL7+AL15</f>
        <v>179870.82</v>
      </c>
      <c r="AM17" s="231">
        <f t="shared" si="1"/>
        <v>0.11245841432762479</v>
      </c>
      <c r="AN17" s="228"/>
      <c r="AO17" s="232">
        <f>AO7+AO15</f>
        <v>270145.26</v>
      </c>
      <c r="AP17" s="232">
        <f>AP7+AP15</f>
        <v>2896.0599999999904</v>
      </c>
      <c r="AQ17" s="231">
        <f>(AO17-AK17)/AK17</f>
        <v>1.0836552550952436E-2</v>
      </c>
      <c r="AR17" s="233"/>
    </row>
    <row r="18" spans="1:44" x14ac:dyDescent="0.25">
      <c r="D18" s="120"/>
      <c r="H18" s="120"/>
      <c r="L18" s="120"/>
      <c r="P18" s="120"/>
      <c r="T18" s="120"/>
      <c r="X18" s="120"/>
      <c r="AB18" s="120"/>
      <c r="AF18" s="120"/>
      <c r="AG18" s="120"/>
      <c r="AI18" s="566"/>
      <c r="AJ18" s="397"/>
      <c r="AK18" s="403"/>
      <c r="AO18" s="120"/>
      <c r="AP18" s="161"/>
    </row>
    <row r="19" spans="1:44" s="111" customFormat="1" thickBot="1" x14ac:dyDescent="0.25">
      <c r="C19" s="111" t="s">
        <v>281</v>
      </c>
      <c r="D19" s="122"/>
      <c r="E19" s="121">
        <f>D17-E17</f>
        <v>1550.0500000000029</v>
      </c>
      <c r="G19" s="118"/>
      <c r="H19" s="122"/>
      <c r="I19" s="121">
        <f>H17-I17</f>
        <v>1002.1999999999825</v>
      </c>
      <c r="K19" s="118"/>
      <c r="L19" s="122"/>
      <c r="M19" s="121">
        <f>L17-M17</f>
        <v>1540.4900000000052</v>
      </c>
      <c r="O19" s="118"/>
      <c r="P19" s="122"/>
      <c r="Q19" s="121">
        <f>P17-Q17</f>
        <v>169.97000000000116</v>
      </c>
      <c r="S19" s="118"/>
      <c r="T19" s="122"/>
      <c r="U19" s="121">
        <f>T17-U17</f>
        <v>3116.5800000000017</v>
      </c>
      <c r="W19" s="118"/>
      <c r="X19" s="122"/>
      <c r="Y19" s="121">
        <f>X17-Y17</f>
        <v>2565.25</v>
      </c>
      <c r="AA19" s="118"/>
      <c r="AB19" s="122"/>
      <c r="AC19" s="121">
        <f>AB17-AC17</f>
        <v>11955.149999999994</v>
      </c>
      <c r="AE19" s="118"/>
      <c r="AF19" s="122"/>
      <c r="AG19" s="122"/>
      <c r="AH19" s="121">
        <f>AG17-AH17</f>
        <v>11373.360000000015</v>
      </c>
      <c r="AJ19" s="118"/>
      <c r="AK19" s="122"/>
      <c r="AL19" s="121">
        <f>AK17-AL17</f>
        <v>87378.38</v>
      </c>
      <c r="AN19" s="118"/>
      <c r="AO19" s="122"/>
      <c r="AP19" s="139"/>
    </row>
    <row r="20" spans="1:44" ht="14.25" thickTop="1" x14ac:dyDescent="0.25">
      <c r="D20" s="120"/>
      <c r="F20" s="216"/>
      <c r="H20" s="120"/>
      <c r="J20" s="216"/>
      <c r="L20" s="120"/>
      <c r="N20" s="216"/>
      <c r="P20" s="120"/>
      <c r="R20" s="216"/>
      <c r="T20" s="120"/>
      <c r="V20" s="80"/>
      <c r="X20" s="120"/>
      <c r="AB20" s="120"/>
      <c r="AF20" s="120"/>
      <c r="AG20" s="120"/>
      <c r="AI20" s="566"/>
      <c r="AJ20" s="397"/>
      <c r="AK20" s="403"/>
      <c r="AO20" s="111"/>
    </row>
    <row r="21" spans="1:44" x14ac:dyDescent="0.25">
      <c r="C21" s="111" t="s">
        <v>1218</v>
      </c>
      <c r="F21" s="216"/>
      <c r="J21" s="216"/>
      <c r="N21" s="216"/>
      <c r="R21" s="216"/>
      <c r="V21" s="80"/>
      <c r="AI21" s="566"/>
      <c r="AO21" s="212"/>
    </row>
    <row r="22" spans="1:44" s="211" customFormat="1" x14ac:dyDescent="0.25">
      <c r="A22" s="211" t="s">
        <v>1317</v>
      </c>
      <c r="B22" s="214">
        <v>9267</v>
      </c>
      <c r="C22" s="348" t="s">
        <v>1804</v>
      </c>
      <c r="D22" s="112">
        <v>9374.26</v>
      </c>
      <c r="E22" s="112">
        <v>9374.26</v>
      </c>
      <c r="F22" s="216"/>
      <c r="G22" s="213"/>
      <c r="H22" s="112">
        <v>10981.33</v>
      </c>
      <c r="I22" s="112">
        <v>10981.33</v>
      </c>
      <c r="J22" s="216"/>
      <c r="K22" s="213"/>
      <c r="L22" s="112">
        <v>15085.01</v>
      </c>
      <c r="M22" s="112">
        <v>15085.01</v>
      </c>
      <c r="N22" s="396">
        <f>(L22-H22)/H22</f>
        <v>0.37369608235068069</v>
      </c>
      <c r="O22" s="213"/>
      <c r="P22" s="112">
        <v>29364.85</v>
      </c>
      <c r="Q22" s="112">
        <v>29364.84</v>
      </c>
      <c r="R22" s="396">
        <f>(P22-L22)/L22</f>
        <v>0.94662449676864635</v>
      </c>
      <c r="S22" s="213"/>
      <c r="T22" s="112">
        <v>23256</v>
      </c>
      <c r="U22" s="112">
        <v>23256</v>
      </c>
      <c r="V22" s="396">
        <f>(T22-P22)/P22</f>
        <v>-0.20803273301242808</v>
      </c>
      <c r="W22" s="213"/>
      <c r="X22" s="112">
        <v>27851.96</v>
      </c>
      <c r="Y22" s="112">
        <v>27851.96</v>
      </c>
      <c r="Z22" s="396">
        <f>(X22-T22)/T22</f>
        <v>0.19762469900240795</v>
      </c>
      <c r="AA22" s="213"/>
      <c r="AB22" s="112"/>
      <c r="AC22" s="112"/>
      <c r="AD22" s="396"/>
      <c r="AE22" s="213"/>
      <c r="AF22" s="399"/>
      <c r="AG22" s="562" t="s">
        <v>2061</v>
      </c>
      <c r="AH22" s="399"/>
      <c r="AI22" s="396"/>
      <c r="AJ22" s="4"/>
      <c r="AK22" s="562" t="s">
        <v>2061</v>
      </c>
      <c r="AL22" s="112"/>
      <c r="AM22" s="396"/>
      <c r="AN22" s="397"/>
      <c r="AO22" s="562" t="s">
        <v>2061</v>
      </c>
      <c r="AP22" s="399"/>
      <c r="AQ22" s="4"/>
      <c r="AR22" s="397"/>
    </row>
    <row r="23" spans="1:44" s="211" customFormat="1" x14ac:dyDescent="0.25">
      <c r="A23" s="214" t="s">
        <v>1319</v>
      </c>
      <c r="B23" s="211">
        <v>9561</v>
      </c>
      <c r="C23" s="341" t="s">
        <v>1805</v>
      </c>
      <c r="D23" s="112">
        <v>0</v>
      </c>
      <c r="E23" s="112">
        <v>0</v>
      </c>
      <c r="F23" s="216"/>
      <c r="G23" s="213"/>
      <c r="H23" s="112">
        <v>0</v>
      </c>
      <c r="I23" s="112">
        <v>0</v>
      </c>
      <c r="J23" s="216"/>
      <c r="K23" s="213"/>
      <c r="L23" s="112">
        <v>0</v>
      </c>
      <c r="M23" s="112">
        <v>0</v>
      </c>
      <c r="N23" s="216"/>
      <c r="O23" s="213"/>
      <c r="P23" s="112">
        <v>0</v>
      </c>
      <c r="Q23" s="112">
        <v>0</v>
      </c>
      <c r="R23" s="216"/>
      <c r="S23" s="213"/>
      <c r="T23" s="112">
        <v>0</v>
      </c>
      <c r="U23" s="112">
        <v>0</v>
      </c>
      <c r="V23" s="216"/>
      <c r="W23" s="213"/>
      <c r="X23" s="112">
        <v>24841.599999999999</v>
      </c>
      <c r="Y23" s="112">
        <v>0</v>
      </c>
      <c r="Z23" s="396"/>
      <c r="AA23" s="213"/>
      <c r="AB23" s="112">
        <v>24841.599999999999</v>
      </c>
      <c r="AC23" s="112">
        <v>22623.599999999999</v>
      </c>
      <c r="AD23" s="396">
        <f>(AB23-X23)/X23</f>
        <v>0</v>
      </c>
      <c r="AE23" s="213"/>
      <c r="AF23" s="399"/>
      <c r="AG23" s="562" t="s">
        <v>2061</v>
      </c>
      <c r="AH23" s="218"/>
      <c r="AI23" s="396"/>
      <c r="AJ23" s="4"/>
      <c r="AK23" s="562" t="s">
        <v>2061</v>
      </c>
      <c r="AL23" s="112"/>
      <c r="AM23" s="396"/>
      <c r="AN23" s="397"/>
      <c r="AO23" s="562" t="s">
        <v>2061</v>
      </c>
      <c r="AP23" s="399"/>
      <c r="AQ23" s="4"/>
      <c r="AR23" s="405"/>
    </row>
    <row r="24" spans="1:44" s="213" customFormat="1" x14ac:dyDescent="0.25">
      <c r="A24" s="211" t="s">
        <v>1318</v>
      </c>
      <c r="B24" s="211">
        <v>9562</v>
      </c>
      <c r="C24" s="522" t="s">
        <v>2062</v>
      </c>
      <c r="D24" s="112">
        <v>0</v>
      </c>
      <c r="E24" s="112">
        <v>0</v>
      </c>
      <c r="F24" s="216"/>
      <c r="H24" s="112">
        <v>0</v>
      </c>
      <c r="I24" s="112">
        <v>0</v>
      </c>
      <c r="J24" s="216"/>
      <c r="L24" s="112">
        <v>0</v>
      </c>
      <c r="M24" s="112">
        <v>0</v>
      </c>
      <c r="N24" s="216"/>
      <c r="P24" s="112">
        <v>0</v>
      </c>
      <c r="Q24" s="112">
        <v>0</v>
      </c>
      <c r="R24" s="216"/>
      <c r="T24" s="112">
        <v>0</v>
      </c>
      <c r="U24" s="112">
        <v>0</v>
      </c>
      <c r="V24" s="216"/>
      <c r="X24" s="112">
        <v>8849.82</v>
      </c>
      <c r="Y24" s="112">
        <v>8849.82</v>
      </c>
      <c r="Z24" s="396"/>
      <c r="AB24" s="112">
        <v>8568.99</v>
      </c>
      <c r="AC24" s="112">
        <v>8538.19</v>
      </c>
      <c r="AD24" s="396">
        <f>(AB24-X24)/X24</f>
        <v>-3.1732848803704472E-2</v>
      </c>
      <c r="AF24" s="245" t="e">
        <f ca="1">_xll.GL($A24,DATA!$M$5,DATA!$A$1,DATA!$M$6,DATA!$M$7)</f>
        <v>#NAME?</v>
      </c>
      <c r="AG24" s="245">
        <v>10152</v>
      </c>
      <c r="AH24" s="245"/>
      <c r="AI24" s="396">
        <f>(AG24-AB24)/AB24</f>
        <v>0.18473705769291365</v>
      </c>
      <c r="AJ24" s="216"/>
      <c r="AK24" s="163">
        <v>5453</v>
      </c>
      <c r="AL24" s="112">
        <v>5453</v>
      </c>
      <c r="AM24" s="396">
        <f>(AK24-AG24)/AG24</f>
        <v>-0.46286446020488575</v>
      </c>
      <c r="AN24" s="397"/>
      <c r="AO24" s="163">
        <v>3747</v>
      </c>
      <c r="AP24" s="112">
        <f t="shared" ref="AP24:AP29" si="2">AO24-AK24</f>
        <v>-1706</v>
      </c>
      <c r="AQ24" s="216">
        <f>AP24/AK24</f>
        <v>-0.31285530900421787</v>
      </c>
      <c r="AR24" s="400" t="s">
        <v>1811</v>
      </c>
    </row>
    <row r="25" spans="1:44" s="213" customFormat="1" x14ac:dyDescent="0.25">
      <c r="A25" s="214" t="s">
        <v>1320</v>
      </c>
      <c r="B25" s="211">
        <v>5696</v>
      </c>
      <c r="C25" s="211" t="s">
        <v>1806</v>
      </c>
      <c r="D25" s="112">
        <v>0</v>
      </c>
      <c r="E25" s="112">
        <v>0</v>
      </c>
      <c r="F25" s="216"/>
      <c r="H25" s="112">
        <v>0</v>
      </c>
      <c r="I25" s="112">
        <v>0</v>
      </c>
      <c r="J25" s="216"/>
      <c r="L25" s="112">
        <v>0</v>
      </c>
      <c r="M25" s="112">
        <v>0</v>
      </c>
      <c r="N25" s="216"/>
      <c r="P25" s="112">
        <v>0</v>
      </c>
      <c r="Q25" s="112">
        <v>0</v>
      </c>
      <c r="R25" s="216"/>
      <c r="T25" s="112">
        <v>0</v>
      </c>
      <c r="U25" s="112">
        <v>0</v>
      </c>
      <c r="V25" s="216"/>
      <c r="X25" s="112">
        <v>0</v>
      </c>
      <c r="Y25" s="112">
        <v>0</v>
      </c>
      <c r="Z25" s="396"/>
      <c r="AB25" s="112">
        <v>5676.3</v>
      </c>
      <c r="AC25" s="112">
        <v>0</v>
      </c>
      <c r="AD25" s="396" t="e">
        <f>(AB25-X25)/X25</f>
        <v>#DIV/0!</v>
      </c>
      <c r="AF25" s="245" t="e">
        <f ca="1">_xll.GL($A25,DATA!$M$5,DATA!$A$1,DATA!$M$6,DATA!$M$7)</f>
        <v>#NAME?</v>
      </c>
      <c r="AG25" s="245">
        <v>6185</v>
      </c>
      <c r="AH25" s="245"/>
      <c r="AI25" s="396">
        <f>(AG25-AB25)/AB25</f>
        <v>8.9618237231999687E-2</v>
      </c>
      <c r="AJ25" s="216"/>
      <c r="AK25" s="163">
        <v>9184</v>
      </c>
      <c r="AL25" s="112">
        <v>9184</v>
      </c>
      <c r="AM25" s="396">
        <f>(AK25-AG25)/AG25</f>
        <v>0.48488278092158449</v>
      </c>
      <c r="AN25" s="397"/>
      <c r="AO25" s="163">
        <v>9576</v>
      </c>
      <c r="AP25" s="112">
        <f t="shared" si="2"/>
        <v>392</v>
      </c>
      <c r="AQ25" s="396">
        <f>AP25/AK25</f>
        <v>4.2682926829268296E-2</v>
      </c>
      <c r="AR25" s="400" t="s">
        <v>1443</v>
      </c>
    </row>
    <row r="26" spans="1:44" s="397" customFormat="1" x14ac:dyDescent="0.25">
      <c r="A26" s="394"/>
      <c r="B26" s="394"/>
      <c r="C26" s="524" t="s">
        <v>2063</v>
      </c>
      <c r="D26" s="112"/>
      <c r="E26" s="112"/>
      <c r="F26" s="396"/>
      <c r="H26" s="112"/>
      <c r="I26" s="112"/>
      <c r="J26" s="396"/>
      <c r="L26" s="112"/>
      <c r="M26" s="112"/>
      <c r="N26" s="396"/>
      <c r="P26" s="112"/>
      <c r="Q26" s="112"/>
      <c r="R26" s="396"/>
      <c r="T26" s="112"/>
      <c r="U26" s="112"/>
      <c r="V26" s="396"/>
      <c r="X26" s="112"/>
      <c r="Y26" s="112"/>
      <c r="Z26" s="396"/>
      <c r="AB26" s="112"/>
      <c r="AC26" s="112"/>
      <c r="AD26" s="396"/>
      <c r="AF26" s="398"/>
      <c r="AG26" s="398"/>
      <c r="AH26" s="398"/>
      <c r="AI26" s="396"/>
      <c r="AJ26" s="396"/>
      <c r="AK26" s="163">
        <v>8163</v>
      </c>
      <c r="AL26" s="112">
        <v>8163</v>
      </c>
      <c r="AM26" s="396"/>
      <c r="AO26" s="163">
        <v>8193</v>
      </c>
      <c r="AP26" s="112">
        <f t="shared" si="2"/>
        <v>30</v>
      </c>
      <c r="AQ26" s="396">
        <f>AP26/AK26</f>
        <v>3.6751194413818448E-3</v>
      </c>
      <c r="AR26" s="400" t="s">
        <v>1519</v>
      </c>
    </row>
    <row r="27" spans="1:44" x14ac:dyDescent="0.25">
      <c r="C27" s="400" t="s">
        <v>1441</v>
      </c>
      <c r="AI27" s="566"/>
      <c r="AK27" s="163">
        <v>5740</v>
      </c>
      <c r="AL27" s="112">
        <v>5740</v>
      </c>
      <c r="AM27" s="396"/>
      <c r="AO27" s="163">
        <v>3591</v>
      </c>
      <c r="AP27" s="112">
        <f t="shared" si="2"/>
        <v>-2149</v>
      </c>
      <c r="AQ27" s="396">
        <f>AP27/AK27</f>
        <v>-0.37439024390243902</v>
      </c>
      <c r="AR27" s="400" t="s">
        <v>1441</v>
      </c>
    </row>
    <row r="28" spans="1:44" x14ac:dyDescent="0.25">
      <c r="C28" s="400" t="s">
        <v>1442</v>
      </c>
      <c r="D28" s="120"/>
      <c r="F28" s="216"/>
      <c r="H28" s="120"/>
      <c r="J28" s="216"/>
      <c r="L28" s="120"/>
      <c r="N28" s="216"/>
      <c r="P28" s="120"/>
      <c r="R28" s="216"/>
      <c r="T28" s="120"/>
      <c r="V28" s="80"/>
      <c r="X28" s="120"/>
      <c r="AB28" s="120"/>
      <c r="AF28" s="120"/>
      <c r="AG28" s="120"/>
      <c r="AI28" s="566"/>
      <c r="AK28" s="163">
        <v>6264</v>
      </c>
      <c r="AL28" s="112">
        <v>6264</v>
      </c>
      <c r="AM28" s="396"/>
      <c r="AO28" s="163">
        <v>5985</v>
      </c>
      <c r="AP28" s="112">
        <f t="shared" si="2"/>
        <v>-279</v>
      </c>
      <c r="AQ28" s="396">
        <f>AP28/AK28</f>
        <v>-4.4540229885057472E-2</v>
      </c>
      <c r="AR28" s="400" t="s">
        <v>1442</v>
      </c>
    </row>
    <row r="29" spans="1:44" ht="15.75" x14ac:dyDescent="0.4">
      <c r="C29" s="522" t="s">
        <v>2073</v>
      </c>
      <c r="D29" s="120"/>
      <c r="F29" s="216"/>
      <c r="H29" s="120"/>
      <c r="J29" s="216"/>
      <c r="L29" s="120"/>
      <c r="N29" s="216"/>
      <c r="P29" s="120"/>
      <c r="R29" s="216"/>
      <c r="T29" s="120"/>
      <c r="V29" s="80"/>
      <c r="X29" s="120"/>
      <c r="AB29" s="120"/>
      <c r="AF29" s="120"/>
      <c r="AG29" s="120"/>
      <c r="AI29" s="566"/>
      <c r="AK29" s="403"/>
      <c r="AO29" s="563">
        <v>16560</v>
      </c>
      <c r="AP29" s="112">
        <f t="shared" si="2"/>
        <v>16560</v>
      </c>
      <c r="AQ29" s="396"/>
      <c r="AR29" s="522" t="s">
        <v>2073</v>
      </c>
    </row>
    <row r="30" spans="1:44" x14ac:dyDescent="0.25">
      <c r="D30" s="123">
        <f>SUM(D17:D28)</f>
        <v>118624.79999999999</v>
      </c>
      <c r="F30" s="216"/>
      <c r="H30" s="123">
        <f>SUM(H17:H28)</f>
        <v>123735.33</v>
      </c>
      <c r="J30" s="231">
        <f>(H30-D30)/D30</f>
        <v>4.3081463572541438E-2</v>
      </c>
      <c r="L30" s="123">
        <f>SUM(L17:L28)</f>
        <v>125203.49</v>
      </c>
      <c r="N30" s="231">
        <f>(L30-H30)/H30</f>
        <v>1.1865325772356234E-2</v>
      </c>
      <c r="P30" s="123">
        <f>SUM(P17:P28)</f>
        <v>145897.83000000002</v>
      </c>
      <c r="R30" s="231">
        <f>(P30-L30)/L30</f>
        <v>0.16528564818760252</v>
      </c>
      <c r="T30" s="123">
        <f>SUM(T17:T28)</f>
        <v>150621.56</v>
      </c>
      <c r="V30" s="231">
        <f>(T30-P30)/P30</f>
        <v>3.23769722962979E-2</v>
      </c>
      <c r="X30" s="123">
        <f>SUM(X17:X28)</f>
        <v>216578.93</v>
      </c>
      <c r="Z30" s="231">
        <f>(X30-T30)/T30</f>
        <v>0.43790125397718627</v>
      </c>
      <c r="AB30" s="123">
        <f>SUM(AB17:AB28)</f>
        <v>242891.8</v>
      </c>
      <c r="AD30" s="231">
        <f>(AB30-X30)/X30</f>
        <v>0.12149321265923696</v>
      </c>
      <c r="AF30" s="120"/>
      <c r="AG30" s="123">
        <f>SUM(AG17:AG28)</f>
        <v>256569.98</v>
      </c>
      <c r="AI30" s="231">
        <f>(AG30-AB30)/AB30</f>
        <v>5.631388132493572E-2</v>
      </c>
      <c r="AK30" s="123">
        <f>SUM(AK17:AK29)</f>
        <v>302053.2</v>
      </c>
      <c r="AM30" s="231">
        <f>(AK30-AG30)/AG30</f>
        <v>0.17727413004436451</v>
      </c>
      <c r="AO30" s="123">
        <f>SUM(AO17:AO29)</f>
        <v>317797.26</v>
      </c>
      <c r="AQ30" s="231">
        <f>(AO30-AK30)/AK30</f>
        <v>5.2123466991907376E-2</v>
      </c>
    </row>
    <row r="31" spans="1:44" x14ac:dyDescent="0.25">
      <c r="D31" s="120"/>
      <c r="F31" s="216"/>
      <c r="H31" s="120"/>
      <c r="J31" s="216"/>
      <c r="L31" s="120"/>
      <c r="N31" s="216"/>
      <c r="P31" s="120"/>
      <c r="R31" s="216"/>
      <c r="T31" s="120"/>
      <c r="V31" s="80"/>
      <c r="X31" s="120"/>
      <c r="AB31" s="120"/>
      <c r="AF31" s="120"/>
      <c r="AG31" s="120"/>
      <c r="AK31" s="403"/>
    </row>
    <row r="32" spans="1:44" x14ac:dyDescent="0.25">
      <c r="C32" s="404" t="s">
        <v>2074</v>
      </c>
      <c r="D32" s="120"/>
      <c r="F32" s="216"/>
      <c r="H32" s="120"/>
      <c r="J32" s="216"/>
      <c r="L32" s="120"/>
      <c r="N32" s="216"/>
      <c r="P32" s="120"/>
      <c r="R32" s="216"/>
      <c r="T32" s="120"/>
      <c r="V32" s="80"/>
      <c r="X32" s="120"/>
      <c r="AB32" s="372">
        <f>SUM(AB10:AB11)</f>
        <v>121210.95999999999</v>
      </c>
      <c r="AF32" s="120"/>
      <c r="AG32" s="372">
        <f>SUM(AG10:AG11)</f>
        <v>126966.7</v>
      </c>
      <c r="AK32" s="372">
        <f>SUM(AK10:AK11)</f>
        <v>134701.17000000001</v>
      </c>
      <c r="AO32" s="372">
        <f>SUM(AO10:AO11)</f>
        <v>139470.13</v>
      </c>
      <c r="AP32" s="399" t="s">
        <v>2060</v>
      </c>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H36" s="120"/>
      <c r="L36" s="120"/>
      <c r="P36" s="120"/>
      <c r="T36" s="120"/>
      <c r="X36" s="120"/>
      <c r="AB36" s="120"/>
      <c r="AF36" s="120"/>
      <c r="AG36" s="120"/>
      <c r="AK36" s="403"/>
    </row>
    <row r="37" spans="4:37" x14ac:dyDescent="0.25">
      <c r="D37" s="120"/>
      <c r="H37" s="120"/>
      <c r="L37" s="120"/>
      <c r="P37" s="120"/>
      <c r="T37" s="12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403" t="s">
        <v>1511</v>
      </c>
      <c r="E122" s="211">
        <v>30.35</v>
      </c>
      <c r="F122" s="211">
        <v>25</v>
      </c>
      <c r="G122" s="397"/>
      <c r="H122" s="403"/>
      <c r="I122" s="394"/>
      <c r="J122" s="394"/>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9" orientation="landscape" r:id="rId1"/>
  <headerFooter alignWithMargins="0">
    <oddHeader>&amp;C&amp;"-,Bold"Proposed Budget &amp; Analysis Report for FY20</oddHeader>
    <oddFooter>&amp;C&amp;D&amp;T&amp;R&amp;A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BA402"/>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1" style="161" customWidth="1"/>
    <col min="4" max="4" width="11.85546875" style="211" hidden="1" customWidth="1"/>
    <col min="5" max="5" width="11.28515625" style="211" hidden="1" customWidth="1"/>
    <col min="6" max="6" width="9.28515625" style="211" hidden="1" customWidth="1"/>
    <col min="7" max="7" width="2.42578125" style="211" hidden="1" customWidth="1"/>
    <col min="8" max="8" width="11.85546875" style="211" hidden="1" customWidth="1"/>
    <col min="9" max="9" width="11.28515625" style="211" hidden="1" customWidth="1"/>
    <col min="10" max="10" width="9.28515625" style="211" hidden="1" customWidth="1"/>
    <col min="11" max="11" width="2.42578125" style="211" hidden="1" customWidth="1"/>
    <col min="12" max="12" width="11.85546875" style="211" hidden="1" customWidth="1"/>
    <col min="13" max="13" width="11.28515625" style="211" hidden="1" customWidth="1"/>
    <col min="14" max="14" width="9.28515625" style="211" hidden="1" customWidth="1"/>
    <col min="15" max="15" width="2.42578125" style="211" hidden="1" customWidth="1"/>
    <col min="16" max="16" width="11.85546875" style="211" hidden="1" customWidth="1"/>
    <col min="17" max="17" width="11.28515625" style="211" hidden="1" customWidth="1"/>
    <col min="18" max="18" width="9.28515625" style="211" hidden="1" customWidth="1"/>
    <col min="19" max="19" width="2.42578125" style="211" hidden="1" customWidth="1"/>
    <col min="20" max="20" width="11.85546875" style="161" hidden="1" customWidth="1"/>
    <col min="21" max="21" width="11.28515625" style="161" hidden="1" customWidth="1"/>
    <col min="22" max="22" width="9.28515625" style="161" hidden="1" customWidth="1"/>
    <col min="23" max="23" width="2.42578125" style="161" hidden="1" customWidth="1"/>
    <col min="24" max="25" width="11.5703125" style="161" hidden="1" customWidth="1"/>
    <col min="26" max="26" width="9.28515625" style="161" hidden="1" customWidth="1"/>
    <col min="27" max="27" width="2.42578125" style="161" hidden="1" customWidth="1"/>
    <col min="28" max="29" width="11.5703125" style="161" customWidth="1"/>
    <col min="30" max="30" width="8.28515625" style="161" customWidth="1"/>
    <col min="31" max="31" width="2.42578125" style="211" customWidth="1"/>
    <col min="32" max="32" width="11.5703125" style="211" hidden="1" customWidth="1"/>
    <col min="33" max="34" width="11.5703125" style="211" customWidth="1"/>
    <col min="35" max="35" width="8.28515625" style="211" bestFit="1" customWidth="1"/>
    <col min="36" max="36" width="1.85546875" style="161" customWidth="1"/>
    <col min="37" max="38" width="11.5703125" style="394" customWidth="1"/>
    <col min="39" max="39" width="8.28515625" style="394" bestFit="1" customWidth="1"/>
    <col min="40" max="40" width="1.85546875" style="394" customWidth="1"/>
    <col min="41" max="41" width="12" style="104" bestFit="1" customWidth="1"/>
    <col min="42" max="42" width="10.5703125" style="104" bestFit="1" customWidth="1"/>
    <col min="43" max="43" width="11.5703125" style="161" customWidth="1"/>
    <col min="44" max="44" width="36.7109375" style="161" customWidth="1"/>
    <col min="45" max="16384" width="9.140625" style="161"/>
  </cols>
  <sheetData>
    <row r="1" spans="1:44" s="397" customFormat="1" ht="14.25" x14ac:dyDescent="0.3">
      <c r="A1" s="394"/>
      <c r="B1" s="394"/>
      <c r="D1" s="398"/>
      <c r="E1" s="398"/>
      <c r="F1" s="396"/>
      <c r="H1" s="398"/>
      <c r="I1" s="398"/>
      <c r="J1" s="396"/>
      <c r="L1" s="398"/>
      <c r="M1" s="398"/>
      <c r="N1" s="396"/>
      <c r="P1" s="398"/>
      <c r="Q1" s="398"/>
      <c r="R1" s="396"/>
      <c r="T1" s="398"/>
      <c r="U1" s="398"/>
      <c r="V1" s="396"/>
      <c r="X1" s="398"/>
      <c r="Y1" s="398"/>
      <c r="Z1" s="396"/>
      <c r="AB1" s="398"/>
      <c r="AC1" s="398"/>
      <c r="AD1" s="396"/>
      <c r="AF1" s="398"/>
      <c r="AG1" s="398"/>
      <c r="AH1" s="398"/>
      <c r="AI1" s="396"/>
      <c r="AJ1" s="396"/>
      <c r="AK1" s="398"/>
      <c r="AL1" s="398"/>
      <c r="AM1" s="396"/>
      <c r="AN1" s="396"/>
      <c r="AO1" s="163"/>
      <c r="AP1" s="218"/>
      <c r="AQ1" s="396"/>
      <c r="AR1" s="167"/>
    </row>
    <row r="3" spans="1:4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8"/>
      <c r="AN3" s="809"/>
      <c r="AO3" s="805" t="s">
        <v>1593</v>
      </c>
      <c r="AP3" s="805"/>
      <c r="AQ3" s="805"/>
      <c r="AR3" s="805"/>
    </row>
    <row r="4" spans="1:44" ht="27" x14ac:dyDescent="0.25">
      <c r="A4" s="271"/>
      <c r="B4" s="271"/>
      <c r="C4" s="308" t="s">
        <v>1988</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N4" s="106"/>
      <c r="AO4" s="107" t="s">
        <v>274</v>
      </c>
      <c r="AP4" s="108" t="s">
        <v>2157</v>
      </c>
      <c r="AQ4" s="109" t="s">
        <v>28</v>
      </c>
      <c r="AR4" s="110" t="s">
        <v>275</v>
      </c>
    </row>
    <row r="5" spans="1:44" x14ac:dyDescent="0.25">
      <c r="A5" s="111" t="s">
        <v>272</v>
      </c>
      <c r="C5" s="111" t="s">
        <v>276</v>
      </c>
      <c r="AO5" s="103"/>
      <c r="AP5" s="103"/>
      <c r="AR5" s="111"/>
    </row>
    <row r="6" spans="1:44" x14ac:dyDescent="0.25">
      <c r="A6" s="161" t="s">
        <v>755</v>
      </c>
      <c r="B6" s="119" t="s">
        <v>1618</v>
      </c>
      <c r="C6" s="161" t="s">
        <v>1619</v>
      </c>
      <c r="D6" s="245">
        <v>61554</v>
      </c>
      <c r="E6" s="245">
        <v>61554</v>
      </c>
      <c r="F6" s="216"/>
      <c r="G6" s="213"/>
      <c r="H6" s="245">
        <v>67661</v>
      </c>
      <c r="I6" s="245">
        <v>67661</v>
      </c>
      <c r="J6" s="216">
        <v>9.9213698541118361E-2</v>
      </c>
      <c r="K6" s="213"/>
      <c r="L6" s="245">
        <v>72084.02</v>
      </c>
      <c r="M6" s="245">
        <v>72083.960000000006</v>
      </c>
      <c r="N6" s="216">
        <v>6.5370301946468479E-2</v>
      </c>
      <c r="O6" s="213"/>
      <c r="P6" s="245">
        <v>76348.759999999995</v>
      </c>
      <c r="Q6" s="245">
        <v>76348.740000000005</v>
      </c>
      <c r="R6" s="216">
        <v>5.9163459529587702E-2</v>
      </c>
      <c r="S6" s="213"/>
      <c r="T6" s="162">
        <v>80335.8</v>
      </c>
      <c r="U6" s="162">
        <v>80335.839999999997</v>
      </c>
      <c r="V6" s="216">
        <v>5.2221411323510797E-2</v>
      </c>
      <c r="W6" s="103"/>
      <c r="X6" s="162">
        <v>84506.53</v>
      </c>
      <c r="Y6" s="162">
        <v>84506.53</v>
      </c>
      <c r="Z6" s="216">
        <v>5.1916206722283163E-2</v>
      </c>
      <c r="AA6" s="103"/>
      <c r="AB6" s="162">
        <v>85036.93</v>
      </c>
      <c r="AC6" s="162">
        <v>84934.04</v>
      </c>
      <c r="AD6" s="216">
        <v>6.2764380456752185E-3</v>
      </c>
      <c r="AE6" s="213"/>
      <c r="AF6" s="245">
        <v>85889.88</v>
      </c>
      <c r="AG6" s="372">
        <v>95966.57</v>
      </c>
      <c r="AH6" s="245">
        <v>95966.57</v>
      </c>
      <c r="AI6" s="216">
        <f>(AG6-AB6)/AB6</f>
        <v>0.12852815829546074</v>
      </c>
      <c r="AJ6" s="80"/>
      <c r="AK6" s="398">
        <v>97791.48</v>
      </c>
      <c r="AL6" s="398">
        <v>46835</v>
      </c>
      <c r="AM6" s="396">
        <f>(AK6-AG6)/AG6</f>
        <v>1.9016101127715502E-2</v>
      </c>
      <c r="AN6" s="396"/>
      <c r="AO6" s="163">
        <f>'FY20 Payroll Schedule'!J109</f>
        <v>99933.768000000011</v>
      </c>
      <c r="AP6" s="138">
        <f t="shared" ref="AP6:AP11" si="0">AO6-AK6</f>
        <v>2142.288000000015</v>
      </c>
      <c r="AQ6" s="396">
        <f>(AO6-AK6)/AK6</f>
        <v>2.1906693711967701E-2</v>
      </c>
      <c r="AR6" s="288" t="s">
        <v>1176</v>
      </c>
    </row>
    <row r="7" spans="1:44" x14ac:dyDescent="0.25">
      <c r="A7" s="161" t="s">
        <v>754</v>
      </c>
      <c r="B7" s="119" t="s">
        <v>291</v>
      </c>
      <c r="C7" s="161" t="s">
        <v>1455</v>
      </c>
      <c r="D7" s="245">
        <v>883</v>
      </c>
      <c r="E7" s="245">
        <v>883</v>
      </c>
      <c r="F7" s="216"/>
      <c r="G7" s="213"/>
      <c r="H7" s="245">
        <v>1359</v>
      </c>
      <c r="I7" s="245">
        <v>1359</v>
      </c>
      <c r="J7" s="216">
        <v>0.53907134767836917</v>
      </c>
      <c r="K7" s="213"/>
      <c r="L7" s="245">
        <v>1399.58</v>
      </c>
      <c r="M7" s="245">
        <v>1399.58</v>
      </c>
      <c r="N7" s="216">
        <v>2.9860191317144905E-2</v>
      </c>
      <c r="O7" s="213"/>
      <c r="P7" s="245">
        <v>1433.08</v>
      </c>
      <c r="Q7" s="245">
        <v>1433.08</v>
      </c>
      <c r="R7" s="216">
        <v>2.3935752154217695E-2</v>
      </c>
      <c r="S7" s="213"/>
      <c r="T7" s="245">
        <v>1453.47</v>
      </c>
      <c r="U7" s="245">
        <v>1453.47</v>
      </c>
      <c r="V7" s="216">
        <v>1.4228096128618152E-2</v>
      </c>
      <c r="W7" s="213"/>
      <c r="X7" s="245">
        <v>2323.11</v>
      </c>
      <c r="Y7" s="245">
        <v>2323.11</v>
      </c>
      <c r="Z7" s="216">
        <v>0.59831988276331816</v>
      </c>
      <c r="AA7" s="213"/>
      <c r="AB7" s="245">
        <v>2337.8200000000002</v>
      </c>
      <c r="AC7" s="245">
        <v>2337.38</v>
      </c>
      <c r="AD7" s="216">
        <v>6.3320290472685479E-3</v>
      </c>
      <c r="AE7" s="213"/>
      <c r="AF7" s="245">
        <v>858.89880000000005</v>
      </c>
      <c r="AG7" s="372">
        <v>959.47</v>
      </c>
      <c r="AH7" s="245">
        <v>959.67</v>
      </c>
      <c r="AI7" s="216">
        <f>(AG7-AB7)/AB7</f>
        <v>-0.58958773558272237</v>
      </c>
      <c r="AJ7" s="80"/>
      <c r="AK7" s="398">
        <v>1571.3244</v>
      </c>
      <c r="AL7" s="398">
        <v>593.41</v>
      </c>
      <c r="AM7" s="396">
        <f t="shared" ref="AM7:AM44" si="1">(AK7-AG7)/AG7</f>
        <v>0.63770039709422899</v>
      </c>
      <c r="AN7" s="396"/>
      <c r="AO7" s="163">
        <f>'FY20 Payroll Schedule'!K109+'FY20 Payroll Schedule'!K111</f>
        <v>1605.7189800000001</v>
      </c>
      <c r="AP7" s="218">
        <f t="shared" si="0"/>
        <v>34.394580000000133</v>
      </c>
      <c r="AQ7" s="396">
        <f t="shared" ref="AQ7:AQ41" si="2">(AO7-AK7)/AK7</f>
        <v>2.188891103581166E-2</v>
      </c>
      <c r="AR7" s="288" t="s">
        <v>1409</v>
      </c>
    </row>
    <row r="8" spans="1:44" x14ac:dyDescent="0.25">
      <c r="A8" s="161" t="s">
        <v>756</v>
      </c>
      <c r="B8" s="119" t="s">
        <v>1620</v>
      </c>
      <c r="C8" s="161" t="s">
        <v>1621</v>
      </c>
      <c r="D8" s="245">
        <v>44145</v>
      </c>
      <c r="E8" s="245">
        <v>43866.25</v>
      </c>
      <c r="F8" s="216"/>
      <c r="G8" s="213"/>
      <c r="H8" s="245">
        <v>45293</v>
      </c>
      <c r="I8" s="245">
        <v>45350.89</v>
      </c>
      <c r="J8" s="216">
        <v>2.6005210103069429E-2</v>
      </c>
      <c r="K8" s="213"/>
      <c r="L8" s="245">
        <v>46652.71</v>
      </c>
      <c r="M8" s="245">
        <v>46012.83</v>
      </c>
      <c r="N8" s="216">
        <v>3.0020312189521541E-2</v>
      </c>
      <c r="O8" s="213"/>
      <c r="P8" s="245">
        <v>47769.26</v>
      </c>
      <c r="Q8" s="245">
        <v>47797.52</v>
      </c>
      <c r="R8" s="216">
        <v>2.3933229173610772E-2</v>
      </c>
      <c r="S8" s="213"/>
      <c r="T8" s="245">
        <v>48448.91</v>
      </c>
      <c r="U8" s="245">
        <v>48615.21</v>
      </c>
      <c r="V8" s="216">
        <v>1.4227769071574511E-2</v>
      </c>
      <c r="W8" s="213"/>
      <c r="X8" s="245">
        <v>49268.05</v>
      </c>
      <c r="Y8" s="245">
        <v>49187.69</v>
      </c>
      <c r="Z8" s="216">
        <v>1.690729471519585E-2</v>
      </c>
      <c r="AA8" s="213"/>
      <c r="AB8" s="245">
        <v>49581.65</v>
      </c>
      <c r="AC8" s="245">
        <v>41566.559999999998</v>
      </c>
      <c r="AD8" s="216">
        <v>6.365179868088924E-3</v>
      </c>
      <c r="AE8" s="213"/>
      <c r="AF8" s="245">
        <v>52672.41</v>
      </c>
      <c r="AG8" s="372">
        <v>56381.22</v>
      </c>
      <c r="AH8" s="245">
        <v>56376.36</v>
      </c>
      <c r="AI8" s="216">
        <f>(AG8-AB8)/AB8</f>
        <v>0.13713884067996929</v>
      </c>
      <c r="AJ8" s="80"/>
      <c r="AK8" s="398">
        <v>59468.850000000006</v>
      </c>
      <c r="AL8" s="398">
        <v>28481.27</v>
      </c>
      <c r="AM8" s="396">
        <f t="shared" si="1"/>
        <v>5.4763447828904813E-2</v>
      </c>
      <c r="AN8" s="396"/>
      <c r="AO8" s="163">
        <f>'FY20 Payroll Schedule'!J110</f>
        <v>62903.61</v>
      </c>
      <c r="AP8" s="218">
        <f t="shared" si="0"/>
        <v>3434.7599999999948</v>
      </c>
      <c r="AQ8" s="396">
        <f t="shared" si="2"/>
        <v>5.7757296466973793E-2</v>
      </c>
      <c r="AR8" s="288" t="s">
        <v>1385</v>
      </c>
    </row>
    <row r="9" spans="1:44" x14ac:dyDescent="0.25">
      <c r="A9" s="161" t="s">
        <v>757</v>
      </c>
      <c r="B9" s="119" t="s">
        <v>1622</v>
      </c>
      <c r="C9" s="161" t="s">
        <v>1623</v>
      </c>
      <c r="D9" s="245">
        <v>41619</v>
      </c>
      <c r="E9" s="245">
        <v>41676.01</v>
      </c>
      <c r="F9" s="216"/>
      <c r="G9" s="213"/>
      <c r="H9" s="245">
        <v>45453</v>
      </c>
      <c r="I9" s="245">
        <v>44316.13</v>
      </c>
      <c r="J9" s="216">
        <v>9.2121386866575367E-2</v>
      </c>
      <c r="K9" s="213"/>
      <c r="L9" s="245">
        <v>47063.519999999997</v>
      </c>
      <c r="M9" s="245">
        <v>46883.199999999997</v>
      </c>
      <c r="N9" s="216">
        <v>3.5432644709920066E-2</v>
      </c>
      <c r="O9" s="213"/>
      <c r="P9" s="245">
        <v>49968.45</v>
      </c>
      <c r="Q9" s="245">
        <v>49777.03</v>
      </c>
      <c r="R9" s="216">
        <v>6.1723602484472062E-2</v>
      </c>
      <c r="S9" s="213"/>
      <c r="T9" s="245">
        <v>50717.52</v>
      </c>
      <c r="U9" s="245">
        <v>50731.4</v>
      </c>
      <c r="V9" s="216">
        <v>1.4990859232175498E-2</v>
      </c>
      <c r="W9" s="213"/>
      <c r="X9" s="245">
        <v>51572.08</v>
      </c>
      <c r="Y9" s="245">
        <v>51691.59</v>
      </c>
      <c r="Z9" s="216">
        <v>1.6849404308412655E-2</v>
      </c>
      <c r="AA9" s="213"/>
      <c r="AB9" s="245">
        <v>51886.8</v>
      </c>
      <c r="AC9" s="245">
        <v>51795.73</v>
      </c>
      <c r="AD9" s="216">
        <v>6.1025267935673946E-3</v>
      </c>
      <c r="AE9" s="213"/>
      <c r="AF9" s="245">
        <v>54134.01</v>
      </c>
      <c r="AG9" s="372">
        <v>56253.33</v>
      </c>
      <c r="AH9" s="245">
        <v>57625.77</v>
      </c>
      <c r="AI9" s="216">
        <f>(AG9-AB9)/AB9</f>
        <v>8.415492957746476E-2</v>
      </c>
      <c r="AJ9" s="80"/>
      <c r="AK9" s="398">
        <v>59340.959999999999</v>
      </c>
      <c r="AL9" s="398">
        <v>28420</v>
      </c>
      <c r="AM9" s="396">
        <f t="shared" si="1"/>
        <v>5.4887950633322462E-2</v>
      </c>
      <c r="AN9" s="396"/>
      <c r="AO9" s="163">
        <f>'FY20 Payroll Schedule'!J111</f>
        <v>60638.13</v>
      </c>
      <c r="AP9" s="218">
        <f t="shared" si="0"/>
        <v>1297.1699999999983</v>
      </c>
      <c r="AQ9" s="396">
        <f t="shared" si="2"/>
        <v>2.1859605911330019E-2</v>
      </c>
      <c r="AR9" s="288" t="s">
        <v>1386</v>
      </c>
    </row>
    <row r="10" spans="1:44" s="211" customFormat="1" x14ac:dyDescent="0.25">
      <c r="A10" s="394" t="s">
        <v>1655</v>
      </c>
      <c r="B10" s="174" t="s">
        <v>1769</v>
      </c>
      <c r="C10" s="397" t="s">
        <v>1410</v>
      </c>
      <c r="D10" s="245"/>
      <c r="E10" s="245"/>
      <c r="F10" s="216"/>
      <c r="G10" s="213"/>
      <c r="H10" s="245"/>
      <c r="I10" s="245"/>
      <c r="J10" s="216"/>
      <c r="K10" s="213"/>
      <c r="L10" s="245"/>
      <c r="M10" s="245"/>
      <c r="N10" s="216"/>
      <c r="O10" s="213"/>
      <c r="P10" s="245"/>
      <c r="Q10" s="245"/>
      <c r="R10" s="216"/>
      <c r="S10" s="213"/>
      <c r="T10" s="245"/>
      <c r="U10" s="245"/>
      <c r="V10" s="216"/>
      <c r="W10" s="213"/>
      <c r="X10" s="245"/>
      <c r="Y10" s="245"/>
      <c r="Z10" s="216"/>
      <c r="AA10" s="213"/>
      <c r="AB10" s="245"/>
      <c r="AC10" s="245"/>
      <c r="AD10" s="216"/>
      <c r="AE10" s="213"/>
      <c r="AF10" s="245"/>
      <c r="AG10" s="372"/>
      <c r="AH10" s="245"/>
      <c r="AI10" s="216"/>
      <c r="AJ10" s="216"/>
      <c r="AK10" s="398">
        <v>31590</v>
      </c>
      <c r="AL10" s="398">
        <v>15837.98</v>
      </c>
      <c r="AM10" s="396"/>
      <c r="AN10" s="396"/>
      <c r="AO10" s="163">
        <f>'FY20 Payroll Schedule'!J112</f>
        <v>34567</v>
      </c>
      <c r="AP10" s="218">
        <f t="shared" si="0"/>
        <v>2977</v>
      </c>
      <c r="AQ10" s="396">
        <f t="shared" si="2"/>
        <v>9.4238683127572012E-2</v>
      </c>
      <c r="AR10" s="400" t="s">
        <v>1669</v>
      </c>
    </row>
    <row r="11" spans="1:44" s="211" customFormat="1" x14ac:dyDescent="0.25">
      <c r="A11" s="214" t="s">
        <v>758</v>
      </c>
      <c r="B11" s="214" t="s">
        <v>1624</v>
      </c>
      <c r="C11" s="394" t="s">
        <v>1987</v>
      </c>
      <c r="D11" s="245">
        <v>35475</v>
      </c>
      <c r="E11" s="245">
        <v>32802.980000000003</v>
      </c>
      <c r="F11" s="216"/>
      <c r="G11" s="213"/>
      <c r="H11" s="245">
        <v>39096</v>
      </c>
      <c r="I11" s="245">
        <v>37874.339999999997</v>
      </c>
      <c r="J11" s="216">
        <v>0.10207188160676532</v>
      </c>
      <c r="K11" s="213"/>
      <c r="L11" s="245">
        <v>40002.379999999997</v>
      </c>
      <c r="M11" s="245">
        <v>39594.14</v>
      </c>
      <c r="N11" s="216">
        <v>2.3183445876815974E-2</v>
      </c>
      <c r="O11" s="213"/>
      <c r="P11" s="245">
        <v>43502</v>
      </c>
      <c r="Q11" s="245">
        <v>43012.2</v>
      </c>
      <c r="R11" s="216">
        <v>8.7485294624969887E-2</v>
      </c>
      <c r="S11" s="213"/>
      <c r="T11" s="245">
        <v>50134</v>
      </c>
      <c r="U11" s="245">
        <v>49147.59</v>
      </c>
      <c r="V11" s="216">
        <v>0.15245276079260722</v>
      </c>
      <c r="W11" s="213"/>
      <c r="X11" s="245">
        <v>52540</v>
      </c>
      <c r="Y11" s="245">
        <v>54455.4</v>
      </c>
      <c r="Z11" s="216">
        <v>4.7991383093309928E-2</v>
      </c>
      <c r="AA11" s="213"/>
      <c r="AB11" s="245">
        <v>64522</v>
      </c>
      <c r="AC11" s="245">
        <v>66284.91</v>
      </c>
      <c r="AD11" s="216">
        <v>0.22805481537875905</v>
      </c>
      <c r="AE11" s="213"/>
      <c r="AF11" s="245">
        <v>74537</v>
      </c>
      <c r="AG11" s="372">
        <v>74537</v>
      </c>
      <c r="AH11" s="245">
        <v>64414.22</v>
      </c>
      <c r="AI11" s="216">
        <f>(AG11-AB11)/AB11</f>
        <v>0.15521837512786335</v>
      </c>
      <c r="AJ11" s="216"/>
      <c r="AK11" s="398">
        <v>53025</v>
      </c>
      <c r="AL11" s="398">
        <v>23831.13</v>
      </c>
      <c r="AM11" s="396">
        <f t="shared" si="1"/>
        <v>-0.28860834216563586</v>
      </c>
      <c r="AN11" s="396"/>
      <c r="AO11" s="408">
        <f>'FY20 Payroll Schedule'!J113</f>
        <v>56090</v>
      </c>
      <c r="AP11" s="218">
        <f t="shared" si="0"/>
        <v>3065</v>
      </c>
      <c r="AQ11" s="396">
        <f t="shared" si="2"/>
        <v>5.7802923149457806E-2</v>
      </c>
      <c r="AR11" s="288" t="s">
        <v>1388</v>
      </c>
    </row>
    <row r="12" spans="1:44" s="114" customFormat="1" x14ac:dyDescent="0.25">
      <c r="A12" s="224"/>
      <c r="B12" s="224"/>
      <c r="C12" s="224" t="s">
        <v>26</v>
      </c>
      <c r="D12" s="225">
        <f>SUM(D6:D11)</f>
        <v>183676</v>
      </c>
      <c r="E12" s="225">
        <f>SUM(E6:E11)</f>
        <v>180782.24000000002</v>
      </c>
      <c r="F12" s="226"/>
      <c r="G12" s="224"/>
      <c r="H12" s="225">
        <f>SUM(H6:H11)</f>
        <v>198862</v>
      </c>
      <c r="I12" s="225">
        <f>SUM(I6:I11)</f>
        <v>196561.36</v>
      </c>
      <c r="J12" s="226">
        <f>(H12-D12)/D12</f>
        <v>8.2678194211546416E-2</v>
      </c>
      <c r="K12" s="224"/>
      <c r="L12" s="225">
        <f>SUM(L6:L11)</f>
        <v>207202.21</v>
      </c>
      <c r="M12" s="225">
        <f>SUM(M6:M11)</f>
        <v>205973.71000000002</v>
      </c>
      <c r="N12" s="226">
        <f>(L12-H12)/H12</f>
        <v>4.193968681799435E-2</v>
      </c>
      <c r="O12" s="224"/>
      <c r="P12" s="225">
        <f>SUM(P6:P11)</f>
        <v>219021.55</v>
      </c>
      <c r="Q12" s="225">
        <f>SUM(Q6:Q11)</f>
        <v>218368.57</v>
      </c>
      <c r="R12" s="226">
        <f>(P12-L12)/L12</f>
        <v>5.7042538301111737E-2</v>
      </c>
      <c r="S12" s="224"/>
      <c r="T12" s="225">
        <f>SUM(T6:T11)</f>
        <v>231089.7</v>
      </c>
      <c r="U12" s="225">
        <f>SUM(U6:U11)</f>
        <v>230283.50999999998</v>
      </c>
      <c r="V12" s="226">
        <f>(T12-P12)/P12</f>
        <v>5.5100285793795285E-2</v>
      </c>
      <c r="W12" s="224"/>
      <c r="X12" s="225">
        <f>SUM(X6:X11)</f>
        <v>240209.77000000002</v>
      </c>
      <c r="Y12" s="225">
        <f>SUM(Y6:Y11)</f>
        <v>242164.32</v>
      </c>
      <c r="Z12" s="226">
        <f>(X12-T12)/T12</f>
        <v>3.9465497596820658E-2</v>
      </c>
      <c r="AA12" s="224"/>
      <c r="AB12" s="225">
        <f>SUM(AB6:AB11)</f>
        <v>253365.2</v>
      </c>
      <c r="AC12" s="225">
        <f>SUM(AC6:AC11)</f>
        <v>246918.62</v>
      </c>
      <c r="AD12" s="226">
        <f>(AB12-X12)/X12</f>
        <v>5.4766423530566606E-2</v>
      </c>
      <c r="AE12" s="224"/>
      <c r="AF12" s="225">
        <f>SUM(AF6:AF11)</f>
        <v>268092.19880000001</v>
      </c>
      <c r="AG12" s="225">
        <f>SUM(AG6:AG11)</f>
        <v>284097.59000000003</v>
      </c>
      <c r="AH12" s="225">
        <f>SUM(AH6:AH11)</f>
        <v>275342.58999999997</v>
      </c>
      <c r="AI12" s="226">
        <f>(AG12-AB12)/AB12</f>
        <v>0.12129680792784492</v>
      </c>
      <c r="AJ12" s="226"/>
      <c r="AK12" s="225">
        <f>SUM(AK6:AK11)</f>
        <v>302787.61439999996</v>
      </c>
      <c r="AL12" s="225">
        <f>SUM(AL6:AL11)</f>
        <v>143998.79</v>
      </c>
      <c r="AM12" s="226">
        <f t="shared" si="1"/>
        <v>6.5787338780311136E-2</v>
      </c>
      <c r="AN12" s="226"/>
      <c r="AO12" s="227">
        <f>SUM(AO6:AO11)</f>
        <v>315738.22698000004</v>
      </c>
      <c r="AP12" s="225">
        <f>SUM(AP6:AP11)</f>
        <v>12950.612580000008</v>
      </c>
      <c r="AQ12" s="226">
        <f>(AO12-AK12)/AK12</f>
        <v>4.2771275851764413E-2</v>
      </c>
      <c r="AR12" s="224"/>
    </row>
    <row r="13" spans="1:44" x14ac:dyDescent="0.25">
      <c r="D13" s="112"/>
      <c r="E13" s="112"/>
      <c r="H13" s="112"/>
      <c r="I13" s="112"/>
      <c r="L13" s="112"/>
      <c r="M13" s="112"/>
      <c r="P13" s="112"/>
      <c r="Q13" s="112"/>
      <c r="T13" s="112"/>
      <c r="U13" s="112"/>
      <c r="X13" s="112"/>
      <c r="Y13" s="112"/>
      <c r="AB13" s="112"/>
      <c r="AC13" s="112"/>
      <c r="AF13" s="112"/>
      <c r="AG13" s="112"/>
      <c r="AH13" s="112"/>
      <c r="AK13" s="112"/>
      <c r="AL13" s="112"/>
      <c r="AQ13" s="394"/>
      <c r="AR13" s="394"/>
    </row>
    <row r="14" spans="1:44" x14ac:dyDescent="0.25">
      <c r="C14" s="151" t="s">
        <v>277</v>
      </c>
      <c r="D14" s="112"/>
      <c r="E14" s="112"/>
      <c r="H14" s="112"/>
      <c r="I14" s="112"/>
      <c r="L14" s="112"/>
      <c r="M14" s="112"/>
      <c r="P14" s="112"/>
      <c r="Q14" s="112"/>
      <c r="T14" s="112"/>
      <c r="U14" s="112"/>
      <c r="X14" s="112"/>
      <c r="Y14" s="112"/>
      <c r="AB14" s="112"/>
      <c r="AC14" s="112"/>
      <c r="AF14" s="112"/>
      <c r="AG14" s="112"/>
      <c r="AH14" s="112"/>
      <c r="AK14" s="112"/>
      <c r="AL14" s="112"/>
      <c r="AQ14" s="394"/>
      <c r="AR14" s="111"/>
    </row>
    <row r="15" spans="1:44" s="211" customFormat="1" ht="14.25" x14ac:dyDescent="0.3">
      <c r="A15" s="211" t="s">
        <v>759</v>
      </c>
      <c r="B15" s="214" t="s">
        <v>1625</v>
      </c>
      <c r="C15" s="211" t="s">
        <v>1626</v>
      </c>
      <c r="D15" s="245">
        <v>14000</v>
      </c>
      <c r="E15" s="245">
        <v>8911.6200000000008</v>
      </c>
      <c r="F15" s="216"/>
      <c r="G15" s="213"/>
      <c r="H15" s="245">
        <v>13000</v>
      </c>
      <c r="I15" s="245">
        <v>6615.97</v>
      </c>
      <c r="J15" s="216">
        <v>-7.1428571428571425E-2</v>
      </c>
      <c r="K15" s="213"/>
      <c r="L15" s="245">
        <v>0</v>
      </c>
      <c r="M15" s="245">
        <v>0</v>
      </c>
      <c r="N15" s="216">
        <v>-1</v>
      </c>
      <c r="O15" s="213"/>
      <c r="P15" s="245">
        <v>0</v>
      </c>
      <c r="Q15" s="245">
        <v>0</v>
      </c>
      <c r="R15" s="216" t="e">
        <v>#DIV/0!</v>
      </c>
      <c r="S15" s="213"/>
      <c r="T15" s="245">
        <v>0</v>
      </c>
      <c r="U15" s="245">
        <v>0</v>
      </c>
      <c r="V15" s="216" t="e">
        <v>#DIV/0!</v>
      </c>
      <c r="W15" s="213"/>
      <c r="X15" s="245">
        <v>0</v>
      </c>
      <c r="Y15" s="245">
        <v>0</v>
      </c>
      <c r="Z15" s="216" t="e">
        <v>#DIV/0!</v>
      </c>
      <c r="AA15" s="213"/>
      <c r="AB15" s="245">
        <v>0</v>
      </c>
      <c r="AC15" s="245">
        <v>0</v>
      </c>
      <c r="AD15" s="216"/>
      <c r="AE15" s="213"/>
      <c r="AF15" s="245">
        <v>0</v>
      </c>
      <c r="AG15" s="245">
        <v>0</v>
      </c>
      <c r="AH15" s="245">
        <v>0</v>
      </c>
      <c r="AI15" s="216"/>
      <c r="AJ15" s="216"/>
      <c r="AK15" s="398">
        <v>0</v>
      </c>
      <c r="AL15" s="398"/>
      <c r="AM15" s="396"/>
      <c r="AN15" s="396"/>
      <c r="AO15" s="565"/>
      <c r="AP15" s="218">
        <f t="shared" ref="AP15:AP41" si="3">AO15-AK15</f>
        <v>0</v>
      </c>
      <c r="AQ15" s="396"/>
      <c r="AR15" s="406" t="s">
        <v>1500</v>
      </c>
    </row>
    <row r="16" spans="1:44" s="211" customFormat="1" ht="14.25" x14ac:dyDescent="0.3">
      <c r="A16" s="211" t="s">
        <v>760</v>
      </c>
      <c r="B16" s="214" t="s">
        <v>1627</v>
      </c>
      <c r="C16" s="211" t="s">
        <v>1628</v>
      </c>
      <c r="D16" s="245">
        <v>5000</v>
      </c>
      <c r="E16" s="245">
        <v>6346.41</v>
      </c>
      <c r="F16" s="216"/>
      <c r="G16" s="213"/>
      <c r="H16" s="245">
        <v>6000</v>
      </c>
      <c r="I16" s="245">
        <v>4825.2299999999996</v>
      </c>
      <c r="J16" s="216">
        <v>0.2</v>
      </c>
      <c r="K16" s="213"/>
      <c r="L16" s="245">
        <v>0</v>
      </c>
      <c r="M16" s="245">
        <v>0</v>
      </c>
      <c r="N16" s="216">
        <v>-1</v>
      </c>
      <c r="O16" s="213"/>
      <c r="P16" s="245">
        <v>0</v>
      </c>
      <c r="Q16" s="245">
        <v>0</v>
      </c>
      <c r="R16" s="216" t="e">
        <v>#DIV/0!</v>
      </c>
      <c r="S16" s="213"/>
      <c r="T16" s="245">
        <v>0</v>
      </c>
      <c r="U16" s="245">
        <v>0</v>
      </c>
      <c r="V16" s="216" t="e">
        <v>#DIV/0!</v>
      </c>
      <c r="W16" s="213"/>
      <c r="X16" s="245">
        <v>0</v>
      </c>
      <c r="Y16" s="245">
        <v>0</v>
      </c>
      <c r="Z16" s="216" t="e">
        <v>#DIV/0!</v>
      </c>
      <c r="AA16" s="213"/>
      <c r="AB16" s="245">
        <v>0</v>
      </c>
      <c r="AC16" s="245">
        <v>0</v>
      </c>
      <c r="AD16" s="216"/>
      <c r="AE16" s="213"/>
      <c r="AF16" s="245">
        <v>0</v>
      </c>
      <c r="AG16" s="245">
        <v>0</v>
      </c>
      <c r="AH16" s="245">
        <v>0</v>
      </c>
      <c r="AI16" s="216"/>
      <c r="AJ16" s="216"/>
      <c r="AK16" s="398">
        <v>0</v>
      </c>
      <c r="AL16" s="398"/>
      <c r="AM16" s="396"/>
      <c r="AN16" s="396"/>
      <c r="AO16" s="565"/>
      <c r="AP16" s="218">
        <f t="shared" si="3"/>
        <v>0</v>
      </c>
      <c r="AQ16" s="396"/>
      <c r="AR16" s="406" t="s">
        <v>1500</v>
      </c>
    </row>
    <row r="17" spans="1:44" s="211" customFormat="1" ht="14.25" x14ac:dyDescent="0.3">
      <c r="A17" s="211" t="s">
        <v>761</v>
      </c>
      <c r="B17" s="214" t="s">
        <v>1629</v>
      </c>
      <c r="C17" s="211" t="s">
        <v>1630</v>
      </c>
      <c r="D17" s="245">
        <v>4900</v>
      </c>
      <c r="E17" s="245">
        <v>6425.23</v>
      </c>
      <c r="F17" s="216"/>
      <c r="G17" s="213"/>
      <c r="H17" s="245">
        <v>4900</v>
      </c>
      <c r="I17" s="245">
        <v>5263.47</v>
      </c>
      <c r="J17" s="216">
        <v>0</v>
      </c>
      <c r="K17" s="213"/>
      <c r="L17" s="245">
        <v>4900</v>
      </c>
      <c r="M17" s="245">
        <v>5580.64</v>
      </c>
      <c r="N17" s="216">
        <v>0</v>
      </c>
      <c r="O17" s="213"/>
      <c r="P17" s="245">
        <v>4900</v>
      </c>
      <c r="Q17" s="245">
        <v>5297.73</v>
      </c>
      <c r="R17" s="216">
        <v>0</v>
      </c>
      <c r="S17" s="213"/>
      <c r="T17" s="245">
        <v>4900</v>
      </c>
      <c r="U17" s="245">
        <v>5858.56</v>
      </c>
      <c r="V17" s="216">
        <v>0</v>
      </c>
      <c r="W17" s="213"/>
      <c r="X17" s="245">
        <v>4900</v>
      </c>
      <c r="Y17" s="245">
        <v>7416.67</v>
      </c>
      <c r="Z17" s="216">
        <v>0</v>
      </c>
      <c r="AA17" s="213"/>
      <c r="AB17" s="245">
        <v>4900</v>
      </c>
      <c r="AC17" s="245">
        <v>7727.04</v>
      </c>
      <c r="AD17" s="216">
        <v>0</v>
      </c>
      <c r="AE17" s="213"/>
      <c r="AF17" s="245">
        <v>4900</v>
      </c>
      <c r="AG17" s="245">
        <v>4900</v>
      </c>
      <c r="AH17" s="245">
        <v>6352.75</v>
      </c>
      <c r="AI17" s="216">
        <f t="shared" ref="AI17:AI41" si="4">(AG17-AB17)/AB17</f>
        <v>0</v>
      </c>
      <c r="AJ17" s="216"/>
      <c r="AK17" s="398">
        <v>4900</v>
      </c>
      <c r="AL17" s="398">
        <v>6721.94</v>
      </c>
      <c r="AM17" s="396">
        <f t="shared" si="1"/>
        <v>0</v>
      </c>
      <c r="AN17" s="396"/>
      <c r="AO17" s="565"/>
      <c r="AP17" s="218">
        <f t="shared" si="3"/>
        <v>-4900</v>
      </c>
      <c r="AQ17" s="396">
        <f>(AO17-AK17)/AK17</f>
        <v>-1</v>
      </c>
      <c r="AR17" s="406" t="s">
        <v>2086</v>
      </c>
    </row>
    <row r="18" spans="1:44" s="211" customFormat="1" x14ac:dyDescent="0.25">
      <c r="A18" s="211" t="s">
        <v>762</v>
      </c>
      <c r="B18" s="214" t="s">
        <v>1631</v>
      </c>
      <c r="C18" s="522" t="s">
        <v>1487</v>
      </c>
      <c r="D18" s="245">
        <v>700</v>
      </c>
      <c r="E18" s="245">
        <v>607.59</v>
      </c>
      <c r="F18" s="216"/>
      <c r="G18" s="213"/>
      <c r="H18" s="245">
        <v>700</v>
      </c>
      <c r="I18" s="245">
        <v>582.67999999999995</v>
      </c>
      <c r="J18" s="216">
        <v>0</v>
      </c>
      <c r="K18" s="213"/>
      <c r="L18" s="245">
        <v>700</v>
      </c>
      <c r="M18" s="245">
        <v>290.56</v>
      </c>
      <c r="N18" s="216">
        <v>0</v>
      </c>
      <c r="O18" s="213"/>
      <c r="P18" s="245">
        <v>700</v>
      </c>
      <c r="Q18" s="245">
        <v>808.84</v>
      </c>
      <c r="R18" s="216">
        <v>0</v>
      </c>
      <c r="S18" s="213"/>
      <c r="T18" s="245">
        <v>700</v>
      </c>
      <c r="U18" s="245">
        <v>610.45000000000005</v>
      </c>
      <c r="V18" s="216">
        <v>0</v>
      </c>
      <c r="W18" s="213"/>
      <c r="X18" s="245">
        <v>700</v>
      </c>
      <c r="Y18" s="245">
        <v>521.41</v>
      </c>
      <c r="Z18" s="216">
        <v>0</v>
      </c>
      <c r="AA18" s="213"/>
      <c r="AB18" s="245">
        <v>700</v>
      </c>
      <c r="AC18" s="245">
        <v>1306.1300000000001</v>
      </c>
      <c r="AD18" s="216">
        <v>0</v>
      </c>
      <c r="AE18" s="213"/>
      <c r="AF18" s="245">
        <v>700</v>
      </c>
      <c r="AG18" s="245">
        <v>700</v>
      </c>
      <c r="AH18" s="245">
        <v>1132.02</v>
      </c>
      <c r="AI18" s="216">
        <f t="shared" si="4"/>
        <v>0</v>
      </c>
      <c r="AJ18" s="216"/>
      <c r="AK18" s="398">
        <v>700</v>
      </c>
      <c r="AL18" s="398">
        <v>269.63</v>
      </c>
      <c r="AM18" s="396">
        <f t="shared" si="1"/>
        <v>0</v>
      </c>
      <c r="AN18" s="396"/>
      <c r="AO18" s="523">
        <v>900</v>
      </c>
      <c r="AP18" s="218">
        <f t="shared" si="3"/>
        <v>200</v>
      </c>
      <c r="AQ18" s="396">
        <f t="shared" si="2"/>
        <v>0.2857142857142857</v>
      </c>
      <c r="AR18" s="159"/>
    </row>
    <row r="19" spans="1:44" s="211" customFormat="1" x14ac:dyDescent="0.25">
      <c r="A19" s="211" t="s">
        <v>763</v>
      </c>
      <c r="B19" s="214" t="s">
        <v>1632</v>
      </c>
      <c r="C19" s="213" t="s">
        <v>1633</v>
      </c>
      <c r="D19" s="245">
        <v>4810</v>
      </c>
      <c r="E19" s="245">
        <v>3877.62</v>
      </c>
      <c r="F19" s="216"/>
      <c r="G19" s="213"/>
      <c r="H19" s="245">
        <v>4810</v>
      </c>
      <c r="I19" s="245">
        <v>4007.26</v>
      </c>
      <c r="J19" s="216">
        <v>0</v>
      </c>
      <c r="K19" s="213"/>
      <c r="L19" s="245">
        <v>4800</v>
      </c>
      <c r="M19" s="245">
        <v>2491.04</v>
      </c>
      <c r="N19" s="216">
        <v>-2.0790020790020791E-3</v>
      </c>
      <c r="O19" s="213"/>
      <c r="P19" s="245">
        <v>4800</v>
      </c>
      <c r="Q19" s="245">
        <v>3833.38</v>
      </c>
      <c r="R19" s="216">
        <v>0</v>
      </c>
      <c r="S19" s="213"/>
      <c r="T19" s="245">
        <v>4800</v>
      </c>
      <c r="U19" s="245">
        <v>3606.44</v>
      </c>
      <c r="V19" s="216">
        <v>0</v>
      </c>
      <c r="W19" s="213"/>
      <c r="X19" s="245">
        <v>4800</v>
      </c>
      <c r="Y19" s="245">
        <v>2029.46</v>
      </c>
      <c r="Z19" s="216">
        <v>0</v>
      </c>
      <c r="AA19" s="213"/>
      <c r="AB19" s="245">
        <v>4800</v>
      </c>
      <c r="AC19" s="245">
        <v>4888.51</v>
      </c>
      <c r="AD19" s="216">
        <v>0</v>
      </c>
      <c r="AE19" s="213"/>
      <c r="AF19" s="245">
        <v>4800</v>
      </c>
      <c r="AG19" s="245">
        <v>4800</v>
      </c>
      <c r="AH19" s="245">
        <v>5285.5</v>
      </c>
      <c r="AI19" s="216">
        <f t="shared" si="4"/>
        <v>0</v>
      </c>
      <c r="AJ19" s="216"/>
      <c r="AK19" s="398">
        <v>4800</v>
      </c>
      <c r="AL19" s="398">
        <v>2069.15</v>
      </c>
      <c r="AM19" s="396">
        <f t="shared" si="1"/>
        <v>0</v>
      </c>
      <c r="AN19" s="396"/>
      <c r="AO19" s="565">
        <v>4800</v>
      </c>
      <c r="AP19" s="218">
        <f t="shared" si="3"/>
        <v>0</v>
      </c>
      <c r="AQ19" s="396">
        <f t="shared" si="2"/>
        <v>0</v>
      </c>
      <c r="AR19" s="289" t="s">
        <v>2087</v>
      </c>
    </row>
    <row r="20" spans="1:44" s="213" customFormat="1" x14ac:dyDescent="0.25">
      <c r="A20" s="211" t="s">
        <v>764</v>
      </c>
      <c r="B20" s="211" t="s">
        <v>1634</v>
      </c>
      <c r="C20" s="213" t="s">
        <v>1635</v>
      </c>
      <c r="D20" s="245">
        <v>2500</v>
      </c>
      <c r="E20" s="245">
        <v>2400</v>
      </c>
      <c r="F20" s="216"/>
      <c r="H20" s="245">
        <v>2500</v>
      </c>
      <c r="I20" s="245">
        <v>2683.2</v>
      </c>
      <c r="J20" s="216">
        <v>0</v>
      </c>
      <c r="L20" s="245">
        <v>2500</v>
      </c>
      <c r="M20" s="245">
        <v>2589.13</v>
      </c>
      <c r="N20" s="216">
        <v>0</v>
      </c>
      <c r="P20" s="245">
        <v>2500</v>
      </c>
      <c r="Q20" s="245">
        <v>2497.15</v>
      </c>
      <c r="R20" s="216">
        <v>0</v>
      </c>
      <c r="T20" s="245">
        <v>1000</v>
      </c>
      <c r="U20" s="245">
        <v>1550.14</v>
      </c>
      <c r="V20" s="216">
        <v>-0.6</v>
      </c>
      <c r="X20" s="245">
        <v>1000</v>
      </c>
      <c r="Y20" s="245">
        <v>1256.57</v>
      </c>
      <c r="Z20" s="216">
        <v>0</v>
      </c>
      <c r="AB20" s="245">
        <v>1500</v>
      </c>
      <c r="AC20" s="245">
        <v>1001.25</v>
      </c>
      <c r="AD20" s="216">
        <v>0.5</v>
      </c>
      <c r="AF20" s="245">
        <v>1500</v>
      </c>
      <c r="AG20" s="245">
        <v>1500</v>
      </c>
      <c r="AH20" s="245">
        <v>1972.37</v>
      </c>
      <c r="AI20" s="216">
        <f t="shared" si="4"/>
        <v>0</v>
      </c>
      <c r="AJ20" s="216"/>
      <c r="AK20" s="398">
        <v>1500</v>
      </c>
      <c r="AL20" s="398">
        <v>1637.57</v>
      </c>
      <c r="AM20" s="396">
        <f t="shared" si="1"/>
        <v>0</v>
      </c>
      <c r="AN20" s="396"/>
      <c r="AO20" s="163">
        <v>2000</v>
      </c>
      <c r="AP20" s="218">
        <f t="shared" si="3"/>
        <v>500</v>
      </c>
      <c r="AQ20" s="396">
        <f t="shared" si="2"/>
        <v>0.33333333333333331</v>
      </c>
      <c r="AR20" s="288"/>
    </row>
    <row r="21" spans="1:44" s="211" customFormat="1" ht="14.25" x14ac:dyDescent="0.3">
      <c r="A21" s="211" t="s">
        <v>765</v>
      </c>
      <c r="B21" s="214" t="s">
        <v>1612</v>
      </c>
      <c r="C21" s="213" t="s">
        <v>1613</v>
      </c>
      <c r="D21" s="245">
        <v>850</v>
      </c>
      <c r="E21" s="245">
        <v>640</v>
      </c>
      <c r="F21" s="216"/>
      <c r="G21" s="213"/>
      <c r="H21" s="245">
        <v>850</v>
      </c>
      <c r="I21" s="245">
        <v>954.1</v>
      </c>
      <c r="J21" s="216">
        <v>0</v>
      </c>
      <c r="K21" s="213"/>
      <c r="L21" s="245">
        <v>6800</v>
      </c>
      <c r="M21" s="245">
        <v>11943.8</v>
      </c>
      <c r="N21" s="216">
        <v>7</v>
      </c>
      <c r="O21" s="213"/>
      <c r="P21" s="245">
        <v>13000</v>
      </c>
      <c r="Q21" s="245">
        <v>13532.12</v>
      </c>
      <c r="R21" s="216">
        <v>0.91176470588235292</v>
      </c>
      <c r="S21" s="213"/>
      <c r="T21" s="245">
        <v>14313</v>
      </c>
      <c r="U21" s="245">
        <v>14121.63</v>
      </c>
      <c r="V21" s="216">
        <v>0.10100000000000001</v>
      </c>
      <c r="W21" s="213"/>
      <c r="X21" s="245">
        <v>15580</v>
      </c>
      <c r="Y21" s="245">
        <v>16097.95</v>
      </c>
      <c r="Z21" s="216">
        <v>8.852092503318662E-2</v>
      </c>
      <c r="AA21" s="213"/>
      <c r="AB21" s="245">
        <v>16879</v>
      </c>
      <c r="AC21" s="245">
        <v>16293.13</v>
      </c>
      <c r="AD21" s="216">
        <v>8.3376123234916555E-2</v>
      </c>
      <c r="AE21" s="213"/>
      <c r="AF21" s="245">
        <v>16025</v>
      </c>
      <c r="AG21" s="245">
        <v>16025</v>
      </c>
      <c r="AH21" s="245">
        <v>16299.49</v>
      </c>
      <c r="AI21" s="216">
        <f t="shared" si="4"/>
        <v>-5.0595414420285562E-2</v>
      </c>
      <c r="AJ21" s="216"/>
      <c r="AK21" s="398">
        <v>16675</v>
      </c>
      <c r="AL21" s="398">
        <v>15569.75</v>
      </c>
      <c r="AM21" s="396">
        <f t="shared" si="1"/>
        <v>4.0561622464898597E-2</v>
      </c>
      <c r="AN21" s="396"/>
      <c r="AO21" s="163">
        <v>16925</v>
      </c>
      <c r="AP21" s="218">
        <f t="shared" si="3"/>
        <v>250</v>
      </c>
      <c r="AQ21" s="396">
        <f t="shared" si="2"/>
        <v>1.4992503748125937E-2</v>
      </c>
      <c r="AR21" s="156"/>
    </row>
    <row r="22" spans="1:44" s="213" customFormat="1" ht="14.25" x14ac:dyDescent="0.3">
      <c r="A22" s="211" t="s">
        <v>766</v>
      </c>
      <c r="B22" s="211" t="s">
        <v>1636</v>
      </c>
      <c r="C22" s="213" t="s">
        <v>1497</v>
      </c>
      <c r="D22" s="245">
        <v>300</v>
      </c>
      <c r="E22" s="245">
        <v>127.65</v>
      </c>
      <c r="F22" s="216"/>
      <c r="H22" s="245">
        <v>300</v>
      </c>
      <c r="I22" s="245">
        <v>327.64999999999998</v>
      </c>
      <c r="J22" s="216">
        <v>0</v>
      </c>
      <c r="L22" s="245">
        <v>300</v>
      </c>
      <c r="M22" s="245">
        <v>256</v>
      </c>
      <c r="N22" s="216">
        <v>0</v>
      </c>
      <c r="P22" s="245">
        <v>300</v>
      </c>
      <c r="Q22" s="245">
        <v>198.25</v>
      </c>
      <c r="R22" s="216">
        <v>0</v>
      </c>
      <c r="T22" s="245">
        <v>300</v>
      </c>
      <c r="U22" s="245">
        <v>134.35</v>
      </c>
      <c r="V22" s="216">
        <v>0</v>
      </c>
      <c r="X22" s="245">
        <v>300</v>
      </c>
      <c r="Y22" s="245">
        <v>143.85</v>
      </c>
      <c r="Z22" s="216">
        <v>0</v>
      </c>
      <c r="AB22" s="245">
        <v>300</v>
      </c>
      <c r="AC22" s="245">
        <v>360.75</v>
      </c>
      <c r="AD22" s="216">
        <v>0</v>
      </c>
      <c r="AF22" s="245">
        <v>300</v>
      </c>
      <c r="AG22" s="245">
        <v>300</v>
      </c>
      <c r="AH22" s="245">
        <v>293.95</v>
      </c>
      <c r="AI22" s="216">
        <f t="shared" si="4"/>
        <v>0</v>
      </c>
      <c r="AJ22" s="216"/>
      <c r="AK22" s="398">
        <v>300</v>
      </c>
      <c r="AL22" s="398">
        <v>127.99</v>
      </c>
      <c r="AM22" s="396">
        <f t="shared" si="1"/>
        <v>0</v>
      </c>
      <c r="AN22" s="396"/>
      <c r="AO22" s="565"/>
      <c r="AP22" s="218">
        <f t="shared" si="3"/>
        <v>-300</v>
      </c>
      <c r="AQ22" s="396">
        <f t="shared" si="2"/>
        <v>-1</v>
      </c>
      <c r="AR22" s="520" t="s">
        <v>2028</v>
      </c>
    </row>
    <row r="23" spans="1:44" s="213" customFormat="1" ht="14.25" x14ac:dyDescent="0.3">
      <c r="A23" s="211" t="s">
        <v>767</v>
      </c>
      <c r="B23" s="211" t="s">
        <v>296</v>
      </c>
      <c r="C23" s="213" t="s">
        <v>1495</v>
      </c>
      <c r="D23" s="245">
        <v>800</v>
      </c>
      <c r="E23" s="245">
        <v>0</v>
      </c>
      <c r="F23" s="216"/>
      <c r="H23" s="245">
        <v>800</v>
      </c>
      <c r="I23" s="245">
        <v>0</v>
      </c>
      <c r="J23" s="216">
        <v>0</v>
      </c>
      <c r="L23" s="245">
        <v>0</v>
      </c>
      <c r="M23" s="245">
        <v>0</v>
      </c>
      <c r="N23" s="216">
        <v>-1</v>
      </c>
      <c r="P23" s="245">
        <v>800</v>
      </c>
      <c r="Q23" s="245">
        <v>0</v>
      </c>
      <c r="R23" s="216" t="e">
        <v>#DIV/0!</v>
      </c>
      <c r="T23" s="245">
        <v>800</v>
      </c>
      <c r="U23" s="245">
        <v>509</v>
      </c>
      <c r="V23" s="216">
        <v>0</v>
      </c>
      <c r="X23" s="245">
        <v>800</v>
      </c>
      <c r="Y23" s="245">
        <v>0</v>
      </c>
      <c r="Z23" s="216">
        <v>0</v>
      </c>
      <c r="AB23" s="245">
        <v>1500</v>
      </c>
      <c r="AC23" s="245">
        <v>298.75</v>
      </c>
      <c r="AD23" s="216">
        <v>0.875</v>
      </c>
      <c r="AF23" s="245">
        <v>1500</v>
      </c>
      <c r="AG23" s="245">
        <v>1500</v>
      </c>
      <c r="AH23" s="245">
        <v>1563.41</v>
      </c>
      <c r="AI23" s="216">
        <f t="shared" si="4"/>
        <v>0</v>
      </c>
      <c r="AJ23" s="216"/>
      <c r="AK23" s="398">
        <v>1500</v>
      </c>
      <c r="AL23" s="398">
        <v>0</v>
      </c>
      <c r="AM23" s="396">
        <f t="shared" si="1"/>
        <v>0</v>
      </c>
      <c r="AN23" s="396"/>
      <c r="AO23" s="163">
        <v>1500</v>
      </c>
      <c r="AP23" s="218">
        <f t="shared" si="3"/>
        <v>0</v>
      </c>
      <c r="AQ23" s="396">
        <f t="shared" si="2"/>
        <v>0</v>
      </c>
      <c r="AR23" s="156"/>
    </row>
    <row r="24" spans="1:44" s="213" customFormat="1" ht="14.25" x14ac:dyDescent="0.3">
      <c r="A24" s="211" t="s">
        <v>768</v>
      </c>
      <c r="B24" s="211" t="s">
        <v>298</v>
      </c>
      <c r="C24" s="213" t="s">
        <v>1599</v>
      </c>
      <c r="D24" s="245">
        <v>150</v>
      </c>
      <c r="E24" s="245">
        <v>100.1</v>
      </c>
      <c r="F24" s="216"/>
      <c r="H24" s="245">
        <v>150</v>
      </c>
      <c r="I24" s="245">
        <v>97.05</v>
      </c>
      <c r="J24" s="216">
        <v>0</v>
      </c>
      <c r="L24" s="245">
        <v>150</v>
      </c>
      <c r="M24" s="245">
        <v>95</v>
      </c>
      <c r="N24" s="216">
        <v>0</v>
      </c>
      <c r="P24" s="245">
        <v>150</v>
      </c>
      <c r="Q24" s="245">
        <v>127.55</v>
      </c>
      <c r="R24" s="216">
        <v>0</v>
      </c>
      <c r="T24" s="245">
        <v>150</v>
      </c>
      <c r="U24" s="245">
        <v>0</v>
      </c>
      <c r="V24" s="216">
        <v>0</v>
      </c>
      <c r="X24" s="245">
        <v>150</v>
      </c>
      <c r="Y24" s="245">
        <v>344.12</v>
      </c>
      <c r="Z24" s="216">
        <v>0</v>
      </c>
      <c r="AB24" s="245">
        <v>150</v>
      </c>
      <c r="AC24" s="245">
        <v>449.84</v>
      </c>
      <c r="AD24" s="216">
        <v>0</v>
      </c>
      <c r="AF24" s="245">
        <v>150</v>
      </c>
      <c r="AG24" s="245">
        <v>150</v>
      </c>
      <c r="AH24" s="245">
        <v>499.7</v>
      </c>
      <c r="AI24" s="216">
        <f t="shared" si="4"/>
        <v>0</v>
      </c>
      <c r="AJ24" s="216"/>
      <c r="AK24" s="398">
        <v>150</v>
      </c>
      <c r="AL24" s="398">
        <v>0</v>
      </c>
      <c r="AM24" s="396">
        <f t="shared" si="1"/>
        <v>0</v>
      </c>
      <c r="AN24" s="396"/>
      <c r="AO24" s="163">
        <v>150</v>
      </c>
      <c r="AP24" s="218">
        <f t="shared" si="3"/>
        <v>0</v>
      </c>
      <c r="AQ24" s="396">
        <f t="shared" si="2"/>
        <v>0</v>
      </c>
      <c r="AR24" s="156"/>
    </row>
    <row r="25" spans="1:44" s="397" customFormat="1" ht="14.25" hidden="1" x14ac:dyDescent="0.3">
      <c r="A25" s="394" t="s">
        <v>769</v>
      </c>
      <c r="B25" s="394" t="s">
        <v>1637</v>
      </c>
      <c r="C25" s="397" t="s">
        <v>1638</v>
      </c>
      <c r="D25" s="398">
        <v>100</v>
      </c>
      <c r="E25" s="398">
        <v>99.46</v>
      </c>
      <c r="F25" s="396"/>
      <c r="H25" s="398">
        <v>100</v>
      </c>
      <c r="I25" s="398">
        <v>0</v>
      </c>
      <c r="J25" s="396">
        <v>0</v>
      </c>
      <c r="L25" s="398">
        <v>0</v>
      </c>
      <c r="M25" s="398">
        <v>0</v>
      </c>
      <c r="N25" s="396">
        <v>-1</v>
      </c>
      <c r="P25" s="398">
        <v>0</v>
      </c>
      <c r="Q25" s="398">
        <v>0</v>
      </c>
      <c r="R25" s="396" t="e">
        <v>#DIV/0!</v>
      </c>
      <c r="T25" s="398">
        <v>0</v>
      </c>
      <c r="U25" s="398">
        <v>0</v>
      </c>
      <c r="V25" s="396" t="e">
        <v>#DIV/0!</v>
      </c>
      <c r="X25" s="398">
        <v>0</v>
      </c>
      <c r="Y25" s="398">
        <v>0</v>
      </c>
      <c r="Z25" s="396" t="e">
        <v>#DIV/0!</v>
      </c>
      <c r="AB25" s="398">
        <v>0</v>
      </c>
      <c r="AC25" s="398">
        <v>0</v>
      </c>
      <c r="AD25" s="396" t="e">
        <v>#DIV/0!</v>
      </c>
      <c r="AF25" s="398"/>
      <c r="AG25" s="398"/>
      <c r="AH25" s="398"/>
      <c r="AI25" s="396" t="e">
        <f t="shared" si="4"/>
        <v>#DIV/0!</v>
      </c>
      <c r="AJ25" s="396"/>
      <c r="AK25" s="398"/>
      <c r="AL25" s="398"/>
      <c r="AM25" s="396" t="e">
        <f t="shared" si="1"/>
        <v>#DIV/0!</v>
      </c>
      <c r="AN25" s="396"/>
      <c r="AO25" s="163"/>
      <c r="AP25" s="218">
        <f t="shared" si="3"/>
        <v>0</v>
      </c>
      <c r="AQ25" s="396" t="e">
        <f t="shared" si="2"/>
        <v>#DIV/0!</v>
      </c>
      <c r="AR25" s="156"/>
    </row>
    <row r="26" spans="1:44" s="213" customFormat="1" ht="14.25" x14ac:dyDescent="0.3">
      <c r="A26" s="211" t="s">
        <v>770</v>
      </c>
      <c r="B26" s="211" t="s">
        <v>1639</v>
      </c>
      <c r="C26" s="213" t="s">
        <v>1640</v>
      </c>
      <c r="D26" s="245">
        <v>2200</v>
      </c>
      <c r="E26" s="245">
        <v>2003.42</v>
      </c>
      <c r="F26" s="216"/>
      <c r="H26" s="245">
        <v>2200</v>
      </c>
      <c r="I26" s="245">
        <v>2031.87</v>
      </c>
      <c r="J26" s="216">
        <v>0</v>
      </c>
      <c r="L26" s="245">
        <v>2200</v>
      </c>
      <c r="M26" s="245">
        <v>2896.09</v>
      </c>
      <c r="N26" s="216">
        <v>0</v>
      </c>
      <c r="P26" s="245">
        <v>2200</v>
      </c>
      <c r="Q26" s="245">
        <v>2818.84</v>
      </c>
      <c r="R26" s="216">
        <v>0</v>
      </c>
      <c r="T26" s="245">
        <v>2200</v>
      </c>
      <c r="U26" s="245">
        <v>2783.06</v>
      </c>
      <c r="V26" s="216">
        <v>0</v>
      </c>
      <c r="X26" s="245">
        <v>2200</v>
      </c>
      <c r="Y26" s="245">
        <v>2888.63</v>
      </c>
      <c r="Z26" s="216">
        <v>0</v>
      </c>
      <c r="AB26" s="245">
        <v>2700</v>
      </c>
      <c r="AC26" s="245">
        <v>2531.61</v>
      </c>
      <c r="AD26" s="216">
        <v>0.22727272727272727</v>
      </c>
      <c r="AF26" s="245">
        <v>2700</v>
      </c>
      <c r="AG26" s="245">
        <v>2700</v>
      </c>
      <c r="AH26" s="245">
        <v>2552.1799999999998</v>
      </c>
      <c r="AI26" s="216">
        <f t="shared" si="4"/>
        <v>0</v>
      </c>
      <c r="AJ26" s="216"/>
      <c r="AK26" s="398">
        <v>2700</v>
      </c>
      <c r="AL26" s="398">
        <v>1322.07</v>
      </c>
      <c r="AM26" s="396">
        <f t="shared" si="1"/>
        <v>0</v>
      </c>
      <c r="AN26" s="396"/>
      <c r="AO26" s="565">
        <v>100</v>
      </c>
      <c r="AP26" s="218">
        <f t="shared" si="3"/>
        <v>-2600</v>
      </c>
      <c r="AQ26" s="396">
        <f t="shared" si="2"/>
        <v>-0.96296296296296291</v>
      </c>
      <c r="AR26" s="520" t="s">
        <v>2029</v>
      </c>
    </row>
    <row r="27" spans="1:44" s="213" customFormat="1" ht="14.25" x14ac:dyDescent="0.3">
      <c r="A27" s="211" t="s">
        <v>771</v>
      </c>
      <c r="B27" s="211" t="s">
        <v>302</v>
      </c>
      <c r="C27" s="213" t="s">
        <v>1601</v>
      </c>
      <c r="D27" s="245">
        <v>100</v>
      </c>
      <c r="E27" s="245">
        <v>110</v>
      </c>
      <c r="F27" s="216"/>
      <c r="H27" s="245">
        <v>100</v>
      </c>
      <c r="I27" s="245">
        <v>110</v>
      </c>
      <c r="J27" s="216">
        <v>0</v>
      </c>
      <c r="L27" s="245">
        <v>200</v>
      </c>
      <c r="M27" s="245">
        <v>130</v>
      </c>
      <c r="N27" s="216">
        <v>1</v>
      </c>
      <c r="P27" s="245">
        <v>200</v>
      </c>
      <c r="Q27" s="245">
        <v>140</v>
      </c>
      <c r="R27" s="216">
        <v>0</v>
      </c>
      <c r="T27" s="245">
        <v>200</v>
      </c>
      <c r="U27" s="245">
        <v>144</v>
      </c>
      <c r="V27" s="216">
        <v>0</v>
      </c>
      <c r="X27" s="245">
        <v>200</v>
      </c>
      <c r="Y27" s="245">
        <v>138</v>
      </c>
      <c r="Z27" s="216">
        <v>0</v>
      </c>
      <c r="AB27" s="245">
        <v>200</v>
      </c>
      <c r="AC27" s="245">
        <v>258.2</v>
      </c>
      <c r="AD27" s="216">
        <v>0</v>
      </c>
      <c r="AF27" s="245">
        <v>200</v>
      </c>
      <c r="AG27" s="245">
        <v>200</v>
      </c>
      <c r="AH27" s="245">
        <v>144</v>
      </c>
      <c r="AI27" s="216">
        <f t="shared" si="4"/>
        <v>0</v>
      </c>
      <c r="AJ27" s="216"/>
      <c r="AK27" s="398">
        <v>200</v>
      </c>
      <c r="AL27" s="398">
        <v>15.4</v>
      </c>
      <c r="AM27" s="396">
        <f t="shared" si="1"/>
        <v>0</v>
      </c>
      <c r="AN27" s="396"/>
      <c r="AO27" s="163">
        <v>200</v>
      </c>
      <c r="AP27" s="218">
        <f t="shared" si="3"/>
        <v>0</v>
      </c>
      <c r="AQ27" s="396">
        <f t="shared" si="2"/>
        <v>0</v>
      </c>
      <c r="AR27" s="156"/>
    </row>
    <row r="28" spans="1:44" s="213" customFormat="1" ht="14.25" x14ac:dyDescent="0.3">
      <c r="A28" s="211" t="s">
        <v>772</v>
      </c>
      <c r="B28" s="211" t="s">
        <v>1641</v>
      </c>
      <c r="C28" s="213" t="s">
        <v>1642</v>
      </c>
      <c r="D28" s="245">
        <v>250</v>
      </c>
      <c r="E28" s="245">
        <v>334.41</v>
      </c>
      <c r="F28" s="216"/>
      <c r="H28" s="245">
        <v>250</v>
      </c>
      <c r="I28" s="245">
        <v>249.6</v>
      </c>
      <c r="J28" s="216">
        <v>0</v>
      </c>
      <c r="L28" s="245">
        <v>250</v>
      </c>
      <c r="M28" s="245">
        <v>63.04</v>
      </c>
      <c r="N28" s="216">
        <v>0</v>
      </c>
      <c r="P28" s="245">
        <v>250</v>
      </c>
      <c r="Q28" s="245">
        <v>149.43</v>
      </c>
      <c r="R28" s="216">
        <v>0</v>
      </c>
      <c r="T28" s="245">
        <v>250</v>
      </c>
      <c r="U28" s="245">
        <v>434.58</v>
      </c>
      <c r="V28" s="216">
        <v>0</v>
      </c>
      <c r="X28" s="245">
        <v>250</v>
      </c>
      <c r="Y28" s="245">
        <v>193.36</v>
      </c>
      <c r="Z28" s="216">
        <v>0</v>
      </c>
      <c r="AB28" s="245">
        <v>250</v>
      </c>
      <c r="AC28" s="245">
        <v>240.57</v>
      </c>
      <c r="AD28" s="216">
        <v>0</v>
      </c>
      <c r="AF28" s="245">
        <v>250</v>
      </c>
      <c r="AG28" s="245">
        <v>250</v>
      </c>
      <c r="AH28" s="245">
        <v>301.89</v>
      </c>
      <c r="AI28" s="216">
        <f t="shared" si="4"/>
        <v>0</v>
      </c>
      <c r="AJ28" s="216"/>
      <c r="AK28" s="398">
        <v>250</v>
      </c>
      <c r="AL28" s="398">
        <v>52.77</v>
      </c>
      <c r="AM28" s="396">
        <f t="shared" si="1"/>
        <v>0</v>
      </c>
      <c r="AN28" s="396"/>
      <c r="AO28" s="163">
        <v>250</v>
      </c>
      <c r="AP28" s="218">
        <f t="shared" si="3"/>
        <v>0</v>
      </c>
      <c r="AQ28" s="396">
        <f t="shared" si="2"/>
        <v>0</v>
      </c>
      <c r="AR28" s="156"/>
    </row>
    <row r="29" spans="1:44" s="213" customFormat="1" ht="14.25" x14ac:dyDescent="0.3">
      <c r="A29" s="211" t="s">
        <v>773</v>
      </c>
      <c r="B29" s="211" t="s">
        <v>949</v>
      </c>
      <c r="C29" s="213" t="s">
        <v>1480</v>
      </c>
      <c r="D29" s="245">
        <v>600</v>
      </c>
      <c r="E29" s="245">
        <v>727.6</v>
      </c>
      <c r="F29" s="216"/>
      <c r="H29" s="245">
        <v>600</v>
      </c>
      <c r="I29" s="245">
        <v>485.33</v>
      </c>
      <c r="J29" s="216">
        <v>0</v>
      </c>
      <c r="L29" s="245">
        <v>600</v>
      </c>
      <c r="M29" s="245">
        <v>1299.51</v>
      </c>
      <c r="N29" s="216">
        <v>0</v>
      </c>
      <c r="P29" s="245">
        <v>600</v>
      </c>
      <c r="Q29" s="245">
        <v>641.13</v>
      </c>
      <c r="R29" s="216">
        <v>0</v>
      </c>
      <c r="T29" s="245">
        <v>600</v>
      </c>
      <c r="U29" s="245">
        <v>661.09</v>
      </c>
      <c r="V29" s="216">
        <v>0</v>
      </c>
      <c r="X29" s="245">
        <v>600</v>
      </c>
      <c r="Y29" s="245">
        <v>1034.8800000000001</v>
      </c>
      <c r="Z29" s="216">
        <v>0</v>
      </c>
      <c r="AB29" s="245">
        <v>750</v>
      </c>
      <c r="AC29" s="245">
        <v>1200.58</v>
      </c>
      <c r="AD29" s="216">
        <v>0.25</v>
      </c>
      <c r="AF29" s="245">
        <v>750</v>
      </c>
      <c r="AG29" s="245">
        <v>750</v>
      </c>
      <c r="AH29" s="245">
        <v>738.44</v>
      </c>
      <c r="AI29" s="216">
        <f t="shared" si="4"/>
        <v>0</v>
      </c>
      <c r="AJ29" s="216"/>
      <c r="AK29" s="398">
        <v>750</v>
      </c>
      <c r="AL29" s="398">
        <v>723.18</v>
      </c>
      <c r="AM29" s="396">
        <f t="shared" si="1"/>
        <v>0</v>
      </c>
      <c r="AN29" s="396"/>
      <c r="AO29" s="163">
        <v>750</v>
      </c>
      <c r="AP29" s="218">
        <f t="shared" si="3"/>
        <v>0</v>
      </c>
      <c r="AQ29" s="396">
        <f t="shared" si="2"/>
        <v>0</v>
      </c>
      <c r="AR29" s="156"/>
    </row>
    <row r="30" spans="1:44" s="213" customFormat="1" ht="14.25" x14ac:dyDescent="0.3">
      <c r="A30" s="211" t="s">
        <v>774</v>
      </c>
      <c r="B30" s="211" t="s">
        <v>1643</v>
      </c>
      <c r="C30" s="522" t="s">
        <v>1644</v>
      </c>
      <c r="D30" s="245">
        <v>900</v>
      </c>
      <c r="E30" s="245">
        <v>645.71</v>
      </c>
      <c r="F30" s="216"/>
      <c r="H30" s="245">
        <v>900</v>
      </c>
      <c r="I30" s="245">
        <v>1163.3599999999999</v>
      </c>
      <c r="J30" s="216">
        <v>0</v>
      </c>
      <c r="L30" s="245">
        <v>900</v>
      </c>
      <c r="M30" s="245">
        <v>478.62</v>
      </c>
      <c r="N30" s="216">
        <v>0</v>
      </c>
      <c r="P30" s="245">
        <v>900</v>
      </c>
      <c r="Q30" s="245">
        <v>858.29</v>
      </c>
      <c r="R30" s="216">
        <v>0</v>
      </c>
      <c r="T30" s="245">
        <v>900</v>
      </c>
      <c r="U30" s="245">
        <v>717.89</v>
      </c>
      <c r="V30" s="216">
        <v>0</v>
      </c>
      <c r="X30" s="245">
        <v>900</v>
      </c>
      <c r="Y30" s="245">
        <v>806.54</v>
      </c>
      <c r="Z30" s="216">
        <v>0</v>
      </c>
      <c r="AB30" s="245">
        <v>900</v>
      </c>
      <c r="AC30" s="245">
        <v>921.35</v>
      </c>
      <c r="AD30" s="216">
        <v>0</v>
      </c>
      <c r="AF30" s="245">
        <v>900</v>
      </c>
      <c r="AG30" s="245">
        <v>900</v>
      </c>
      <c r="AH30" s="245">
        <v>965.09</v>
      </c>
      <c r="AI30" s="216">
        <f t="shared" si="4"/>
        <v>0</v>
      </c>
      <c r="AJ30" s="216"/>
      <c r="AK30" s="398">
        <v>900</v>
      </c>
      <c r="AL30" s="398">
        <v>462.78</v>
      </c>
      <c r="AM30" s="396">
        <f t="shared" si="1"/>
        <v>0</v>
      </c>
      <c r="AN30" s="396"/>
      <c r="AO30" s="523">
        <v>1300</v>
      </c>
      <c r="AP30" s="218">
        <f t="shared" si="3"/>
        <v>400</v>
      </c>
      <c r="AQ30" s="396">
        <f t="shared" si="2"/>
        <v>0.44444444444444442</v>
      </c>
      <c r="AR30" s="156"/>
    </row>
    <row r="31" spans="1:44" s="211" customFormat="1" ht="14.25" x14ac:dyDescent="0.3">
      <c r="A31" s="211" t="s">
        <v>775</v>
      </c>
      <c r="B31" s="214" t="s">
        <v>306</v>
      </c>
      <c r="C31" s="213" t="s">
        <v>1603</v>
      </c>
      <c r="D31" s="245">
        <v>28600</v>
      </c>
      <c r="E31" s="245">
        <v>29213.67</v>
      </c>
      <c r="F31" s="216"/>
      <c r="G31" s="213"/>
      <c r="H31" s="245">
        <v>30700</v>
      </c>
      <c r="I31" s="245">
        <v>32759.13</v>
      </c>
      <c r="J31" s="216">
        <v>7.3426573426573424E-2</v>
      </c>
      <c r="K31" s="213"/>
      <c r="L31" s="245">
        <v>28020</v>
      </c>
      <c r="M31" s="245">
        <v>27573.42</v>
      </c>
      <c r="N31" s="216">
        <v>-8.7296416938110744E-2</v>
      </c>
      <c r="O31" s="213"/>
      <c r="P31" s="245">
        <v>30200</v>
      </c>
      <c r="Q31" s="245">
        <v>34719.08</v>
      </c>
      <c r="R31" s="216">
        <v>7.7801570306923626E-2</v>
      </c>
      <c r="S31" s="213"/>
      <c r="T31" s="245">
        <v>32000</v>
      </c>
      <c r="U31" s="245">
        <v>34382.04</v>
      </c>
      <c r="V31" s="216">
        <v>5.9602649006622516E-2</v>
      </c>
      <c r="W31" s="213"/>
      <c r="X31" s="245">
        <v>35000</v>
      </c>
      <c r="Y31" s="245">
        <v>34211.51</v>
      </c>
      <c r="Z31" s="216">
        <v>9.375E-2</v>
      </c>
      <c r="AA31" s="213"/>
      <c r="AB31" s="245">
        <v>37000</v>
      </c>
      <c r="AC31" s="245">
        <v>33631.339999999997</v>
      </c>
      <c r="AD31" s="216">
        <v>5.7142857142857141E-2</v>
      </c>
      <c r="AE31" s="213"/>
      <c r="AF31" s="245">
        <v>39500</v>
      </c>
      <c r="AG31" s="245">
        <v>39500</v>
      </c>
      <c r="AH31" s="245">
        <v>37443.82</v>
      </c>
      <c r="AI31" s="216">
        <f t="shared" si="4"/>
        <v>6.7567567567567571E-2</v>
      </c>
      <c r="AJ31" s="216"/>
      <c r="AK31" s="398">
        <v>37000</v>
      </c>
      <c r="AL31" s="398">
        <v>22734.62</v>
      </c>
      <c r="AM31" s="396">
        <f t="shared" si="1"/>
        <v>-6.3291139240506333E-2</v>
      </c>
      <c r="AN31" s="396"/>
      <c r="AO31" s="163">
        <v>41000</v>
      </c>
      <c r="AP31" s="218">
        <f t="shared" si="3"/>
        <v>4000</v>
      </c>
      <c r="AQ31" s="396">
        <f t="shared" si="2"/>
        <v>0.10810810810810811</v>
      </c>
      <c r="AR31" s="156" t="s">
        <v>1275</v>
      </c>
    </row>
    <row r="32" spans="1:44" s="211" customFormat="1" ht="14.25" x14ac:dyDescent="0.3">
      <c r="A32" s="211" t="s">
        <v>776</v>
      </c>
      <c r="B32" s="214" t="s">
        <v>1645</v>
      </c>
      <c r="C32" s="213" t="s">
        <v>1646</v>
      </c>
      <c r="D32" s="245">
        <v>10500</v>
      </c>
      <c r="E32" s="245">
        <v>12281.37</v>
      </c>
      <c r="F32" s="216"/>
      <c r="G32" s="213"/>
      <c r="H32" s="245">
        <v>11250</v>
      </c>
      <c r="I32" s="245">
        <v>12505.61</v>
      </c>
      <c r="J32" s="216">
        <v>7.1428571428571425E-2</v>
      </c>
      <c r="K32" s="213"/>
      <c r="L32" s="245">
        <v>13000</v>
      </c>
      <c r="M32" s="245">
        <v>10245.85</v>
      </c>
      <c r="N32" s="216">
        <v>0.15555555555555556</v>
      </c>
      <c r="O32" s="213"/>
      <c r="P32" s="245">
        <v>13600</v>
      </c>
      <c r="Q32" s="245">
        <v>9876.49</v>
      </c>
      <c r="R32" s="216">
        <v>4.6153846153846156E-2</v>
      </c>
      <c r="S32" s="213"/>
      <c r="T32" s="245">
        <v>14000</v>
      </c>
      <c r="U32" s="245">
        <v>12008.71</v>
      </c>
      <c r="V32" s="216">
        <v>2.9411764705882353E-2</v>
      </c>
      <c r="W32" s="213"/>
      <c r="X32" s="245">
        <v>14400</v>
      </c>
      <c r="Y32" s="245">
        <v>9227.07</v>
      </c>
      <c r="Z32" s="216">
        <v>2.8571428571428571E-2</v>
      </c>
      <c r="AA32" s="213"/>
      <c r="AB32" s="245">
        <v>14400</v>
      </c>
      <c r="AC32" s="245">
        <v>12228.97</v>
      </c>
      <c r="AD32" s="216">
        <v>0</v>
      </c>
      <c r="AE32" s="213"/>
      <c r="AF32" s="245">
        <v>15600</v>
      </c>
      <c r="AG32" s="245">
        <v>15600</v>
      </c>
      <c r="AH32" s="245">
        <v>13418.05</v>
      </c>
      <c r="AI32" s="216">
        <f t="shared" si="4"/>
        <v>8.3333333333333329E-2</v>
      </c>
      <c r="AJ32" s="216"/>
      <c r="AK32" s="398">
        <v>15000</v>
      </c>
      <c r="AL32" s="398">
        <v>4171.12</v>
      </c>
      <c r="AM32" s="396">
        <f t="shared" si="1"/>
        <v>-3.8461538461538464E-2</v>
      </c>
      <c r="AN32" s="396"/>
      <c r="AO32" s="163">
        <v>15000</v>
      </c>
      <c r="AP32" s="218">
        <f t="shared" si="3"/>
        <v>0</v>
      </c>
      <c r="AQ32" s="396">
        <f t="shared" si="2"/>
        <v>0</v>
      </c>
      <c r="AR32" s="156" t="s">
        <v>1275</v>
      </c>
    </row>
    <row r="33" spans="1:53" s="211" customFormat="1" ht="14.25" x14ac:dyDescent="0.3">
      <c r="A33" s="395" t="s">
        <v>1656</v>
      </c>
      <c r="B33" s="395">
        <v>5514</v>
      </c>
      <c r="C33" s="397" t="s">
        <v>1389</v>
      </c>
      <c r="D33" s="245"/>
      <c r="E33" s="245"/>
      <c r="F33" s="216"/>
      <c r="G33" s="213"/>
      <c r="H33" s="245"/>
      <c r="I33" s="245"/>
      <c r="J33" s="216"/>
      <c r="K33" s="213"/>
      <c r="L33" s="245"/>
      <c r="M33" s="245"/>
      <c r="N33" s="216"/>
      <c r="O33" s="213"/>
      <c r="P33" s="245"/>
      <c r="Q33" s="245"/>
      <c r="R33" s="216"/>
      <c r="S33" s="213"/>
      <c r="T33" s="245"/>
      <c r="U33" s="245"/>
      <c r="V33" s="216"/>
      <c r="W33" s="213"/>
      <c r="X33" s="245"/>
      <c r="Y33" s="245"/>
      <c r="Z33" s="216"/>
      <c r="AA33" s="213"/>
      <c r="AB33" s="245"/>
      <c r="AC33" s="245"/>
      <c r="AD33" s="216"/>
      <c r="AE33" s="213"/>
      <c r="AF33" s="245"/>
      <c r="AG33" s="245"/>
      <c r="AH33" s="245">
        <v>162.37</v>
      </c>
      <c r="AI33" s="216"/>
      <c r="AJ33" s="216"/>
      <c r="AK33" s="398">
        <v>7500</v>
      </c>
      <c r="AL33" s="398">
        <v>899.85</v>
      </c>
      <c r="AM33" s="396" t="e">
        <f t="shared" si="1"/>
        <v>#DIV/0!</v>
      </c>
      <c r="AN33" s="396"/>
      <c r="AO33" s="163">
        <v>9000</v>
      </c>
      <c r="AP33" s="218">
        <f t="shared" si="3"/>
        <v>1500</v>
      </c>
      <c r="AQ33" s="396">
        <f t="shared" si="2"/>
        <v>0.2</v>
      </c>
      <c r="AR33" s="406"/>
    </row>
    <row r="34" spans="1:53" s="397" customFormat="1" ht="14.25" hidden="1" x14ac:dyDescent="0.3">
      <c r="A34" s="394" t="s">
        <v>777</v>
      </c>
      <c r="B34" s="394" t="s">
        <v>1647</v>
      </c>
      <c r="C34" s="397" t="s">
        <v>1648</v>
      </c>
      <c r="D34" s="398">
        <v>100</v>
      </c>
      <c r="E34" s="398">
        <v>0</v>
      </c>
      <c r="F34" s="396"/>
      <c r="H34" s="398">
        <v>100</v>
      </c>
      <c r="I34" s="398">
        <v>0</v>
      </c>
      <c r="J34" s="396">
        <v>0</v>
      </c>
      <c r="L34" s="398">
        <v>0</v>
      </c>
      <c r="M34" s="398">
        <v>0</v>
      </c>
      <c r="N34" s="396">
        <v>-1</v>
      </c>
      <c r="P34" s="398">
        <v>0</v>
      </c>
      <c r="Q34" s="398">
        <v>0</v>
      </c>
      <c r="R34" s="396" t="e">
        <v>#DIV/0!</v>
      </c>
      <c r="T34" s="398">
        <v>0</v>
      </c>
      <c r="U34" s="398">
        <v>0</v>
      </c>
      <c r="V34" s="396" t="e">
        <v>#DIV/0!</v>
      </c>
      <c r="X34" s="398">
        <v>0</v>
      </c>
      <c r="Y34" s="398">
        <v>0</v>
      </c>
      <c r="Z34" s="396" t="e">
        <v>#DIV/0!</v>
      </c>
      <c r="AB34" s="398">
        <v>0</v>
      </c>
      <c r="AC34" s="398">
        <v>0</v>
      </c>
      <c r="AD34" s="396" t="e">
        <v>#DIV/0!</v>
      </c>
      <c r="AF34" s="398"/>
      <c r="AG34" s="398"/>
      <c r="AH34" s="398"/>
      <c r="AI34" s="396" t="e">
        <f t="shared" si="4"/>
        <v>#DIV/0!</v>
      </c>
      <c r="AJ34" s="396"/>
      <c r="AK34" s="398"/>
      <c r="AL34" s="398"/>
      <c r="AM34" s="396" t="e">
        <f t="shared" si="1"/>
        <v>#DIV/0!</v>
      </c>
      <c r="AN34" s="396"/>
      <c r="AO34" s="163"/>
      <c r="AP34" s="218">
        <f t="shared" si="3"/>
        <v>0</v>
      </c>
      <c r="AQ34" s="396" t="e">
        <f t="shared" si="2"/>
        <v>#DIV/0!</v>
      </c>
      <c r="AR34" s="156"/>
    </row>
    <row r="35" spans="1:53" s="211" customFormat="1" ht="14.25" x14ac:dyDescent="0.3">
      <c r="A35" s="211" t="s">
        <v>778</v>
      </c>
      <c r="B35" s="214" t="s">
        <v>1649</v>
      </c>
      <c r="C35" s="213" t="s">
        <v>1650</v>
      </c>
      <c r="D35" s="245">
        <v>700</v>
      </c>
      <c r="E35" s="245">
        <v>773.35</v>
      </c>
      <c r="F35" s="216"/>
      <c r="G35" s="213"/>
      <c r="H35" s="245">
        <v>700</v>
      </c>
      <c r="I35" s="245">
        <v>753.52</v>
      </c>
      <c r="J35" s="216">
        <v>0</v>
      </c>
      <c r="K35" s="213"/>
      <c r="L35" s="245">
        <v>700</v>
      </c>
      <c r="M35" s="245">
        <v>602.41</v>
      </c>
      <c r="N35" s="216">
        <v>0</v>
      </c>
      <c r="O35" s="213"/>
      <c r="P35" s="245">
        <v>700</v>
      </c>
      <c r="Q35" s="245">
        <v>682.31</v>
      </c>
      <c r="R35" s="216">
        <v>0</v>
      </c>
      <c r="S35" s="213"/>
      <c r="T35" s="245">
        <v>700</v>
      </c>
      <c r="U35" s="245">
        <v>359.6</v>
      </c>
      <c r="V35" s="216">
        <v>0</v>
      </c>
      <c r="W35" s="213"/>
      <c r="X35" s="245">
        <v>700</v>
      </c>
      <c r="Y35" s="245">
        <v>1043.99</v>
      </c>
      <c r="Z35" s="216">
        <v>0</v>
      </c>
      <c r="AA35" s="213"/>
      <c r="AB35" s="245">
        <v>700</v>
      </c>
      <c r="AC35" s="245">
        <v>63.22</v>
      </c>
      <c r="AD35" s="216">
        <v>0</v>
      </c>
      <c r="AE35" s="213"/>
      <c r="AF35" s="245">
        <v>700</v>
      </c>
      <c r="AG35" s="245">
        <v>700</v>
      </c>
      <c r="AH35" s="245">
        <v>152.78</v>
      </c>
      <c r="AI35" s="216">
        <f t="shared" si="4"/>
        <v>0</v>
      </c>
      <c r="AJ35" s="216"/>
      <c r="AK35" s="398">
        <v>700</v>
      </c>
      <c r="AL35" s="398">
        <v>152.5</v>
      </c>
      <c r="AM35" s="396">
        <f t="shared" si="1"/>
        <v>0</v>
      </c>
      <c r="AN35" s="396"/>
      <c r="AO35" s="163">
        <v>700</v>
      </c>
      <c r="AP35" s="218">
        <f t="shared" si="3"/>
        <v>0</v>
      </c>
      <c r="AQ35" s="396">
        <f t="shared" si="2"/>
        <v>0</v>
      </c>
      <c r="AR35" s="406"/>
    </row>
    <row r="36" spans="1:53" s="211" customFormat="1" ht="14.25" x14ac:dyDescent="0.3">
      <c r="A36" s="211" t="s">
        <v>779</v>
      </c>
      <c r="B36" s="214" t="s">
        <v>1651</v>
      </c>
      <c r="C36" s="213" t="s">
        <v>1652</v>
      </c>
      <c r="D36" s="245">
        <v>4500</v>
      </c>
      <c r="E36" s="245">
        <v>4258.33</v>
      </c>
      <c r="F36" s="216"/>
      <c r="G36" s="213"/>
      <c r="H36" s="245">
        <v>4500</v>
      </c>
      <c r="I36" s="245">
        <v>4920.6400000000003</v>
      </c>
      <c r="J36" s="216">
        <v>0</v>
      </c>
      <c r="K36" s="213"/>
      <c r="L36" s="245">
        <v>4800</v>
      </c>
      <c r="M36" s="245">
        <v>4760.99</v>
      </c>
      <c r="N36" s="216">
        <v>6.6666666666666666E-2</v>
      </c>
      <c r="O36" s="213"/>
      <c r="P36" s="245">
        <v>5000</v>
      </c>
      <c r="Q36" s="245">
        <v>4594.84</v>
      </c>
      <c r="R36" s="216">
        <v>4.1666666666666664E-2</v>
      </c>
      <c r="S36" s="213"/>
      <c r="T36" s="245">
        <v>5500</v>
      </c>
      <c r="U36" s="245">
        <v>4724.8900000000003</v>
      </c>
      <c r="V36" s="216">
        <v>0.1</v>
      </c>
      <c r="W36" s="213"/>
      <c r="X36" s="245">
        <v>5600</v>
      </c>
      <c r="Y36" s="245">
        <v>7016.9</v>
      </c>
      <c r="Z36" s="216">
        <v>1.8181818181818181E-2</v>
      </c>
      <c r="AA36" s="213"/>
      <c r="AB36" s="245">
        <v>5600</v>
      </c>
      <c r="AC36" s="245">
        <v>7580.18</v>
      </c>
      <c r="AD36" s="216">
        <v>0</v>
      </c>
      <c r="AE36" s="213"/>
      <c r="AF36" s="245">
        <v>6600</v>
      </c>
      <c r="AG36" s="245">
        <v>6600</v>
      </c>
      <c r="AH36" s="245">
        <v>7807.23</v>
      </c>
      <c r="AI36" s="216">
        <f t="shared" si="4"/>
        <v>0.17857142857142858</v>
      </c>
      <c r="AJ36" s="216"/>
      <c r="AK36" s="398">
        <v>5700</v>
      </c>
      <c r="AL36" s="398">
        <v>1824.5</v>
      </c>
      <c r="AM36" s="396">
        <f t="shared" si="1"/>
        <v>-0.13636363636363635</v>
      </c>
      <c r="AN36" s="396"/>
      <c r="AO36" s="163">
        <v>6000</v>
      </c>
      <c r="AP36" s="218">
        <f t="shared" si="3"/>
        <v>300</v>
      </c>
      <c r="AQ36" s="396">
        <f t="shared" si="2"/>
        <v>5.2631578947368418E-2</v>
      </c>
      <c r="AR36" s="156" t="s">
        <v>1275</v>
      </c>
    </row>
    <row r="37" spans="1:53" s="397" customFormat="1" ht="14.25" hidden="1" x14ac:dyDescent="0.3">
      <c r="A37" s="394" t="s">
        <v>780</v>
      </c>
      <c r="B37" s="394" t="s">
        <v>308</v>
      </c>
      <c r="C37" s="397" t="s">
        <v>1604</v>
      </c>
      <c r="D37" s="398">
        <v>300</v>
      </c>
      <c r="E37" s="398">
        <v>290.25</v>
      </c>
      <c r="F37" s="396"/>
      <c r="H37" s="398">
        <v>300</v>
      </c>
      <c r="I37" s="398">
        <v>0</v>
      </c>
      <c r="J37" s="396">
        <v>0</v>
      </c>
      <c r="L37" s="398">
        <v>0</v>
      </c>
      <c r="M37" s="398">
        <v>0</v>
      </c>
      <c r="N37" s="396">
        <v>-1</v>
      </c>
      <c r="P37" s="398">
        <v>0</v>
      </c>
      <c r="Q37" s="398">
        <v>3</v>
      </c>
      <c r="R37" s="396" t="e">
        <v>#DIV/0!</v>
      </c>
      <c r="T37" s="398">
        <v>0</v>
      </c>
      <c r="U37" s="398">
        <v>0</v>
      </c>
      <c r="V37" s="396" t="e">
        <v>#DIV/0!</v>
      </c>
      <c r="X37" s="398">
        <v>0</v>
      </c>
      <c r="Y37" s="398">
        <v>0</v>
      </c>
      <c r="Z37" s="396" t="e">
        <v>#DIV/0!</v>
      </c>
      <c r="AB37" s="398">
        <v>0</v>
      </c>
      <c r="AC37" s="398">
        <v>0</v>
      </c>
      <c r="AD37" s="396" t="e">
        <v>#DIV/0!</v>
      </c>
      <c r="AF37" s="398"/>
      <c r="AG37" s="398"/>
      <c r="AH37" s="398"/>
      <c r="AI37" s="396" t="e">
        <f t="shared" si="4"/>
        <v>#DIV/0!</v>
      </c>
      <c r="AJ37" s="396"/>
      <c r="AK37" s="398"/>
      <c r="AL37" s="398"/>
      <c r="AM37" s="396" t="e">
        <f t="shared" si="1"/>
        <v>#DIV/0!</v>
      </c>
      <c r="AN37" s="396"/>
      <c r="AO37" s="163"/>
      <c r="AP37" s="218">
        <f t="shared" si="3"/>
        <v>0</v>
      </c>
      <c r="AQ37" s="396" t="e">
        <f t="shared" si="2"/>
        <v>#DIV/0!</v>
      </c>
      <c r="AR37" s="167"/>
    </row>
    <row r="38" spans="1:53" s="213" customFormat="1" x14ac:dyDescent="0.25">
      <c r="A38" s="211" t="s">
        <v>781</v>
      </c>
      <c r="B38" s="211" t="s">
        <v>1653</v>
      </c>
      <c r="C38" s="211" t="s">
        <v>1654</v>
      </c>
      <c r="D38" s="245">
        <v>0</v>
      </c>
      <c r="E38" s="245">
        <v>0</v>
      </c>
      <c r="F38" s="216"/>
      <c r="H38" s="245">
        <v>0</v>
      </c>
      <c r="I38" s="245">
        <v>422.1</v>
      </c>
      <c r="J38" s="216" t="e">
        <v>#DIV/0!</v>
      </c>
      <c r="L38" s="245">
        <v>300</v>
      </c>
      <c r="M38" s="245">
        <v>278</v>
      </c>
      <c r="N38" s="216" t="e">
        <v>#DIV/0!</v>
      </c>
      <c r="P38" s="245">
        <v>300</v>
      </c>
      <c r="Q38" s="245">
        <v>278.25</v>
      </c>
      <c r="R38" s="216">
        <v>0</v>
      </c>
      <c r="T38" s="245">
        <v>300</v>
      </c>
      <c r="U38" s="245">
        <v>355</v>
      </c>
      <c r="V38" s="216">
        <v>0</v>
      </c>
      <c r="X38" s="245">
        <v>300</v>
      </c>
      <c r="Y38" s="245">
        <v>469</v>
      </c>
      <c r="Z38" s="216">
        <v>0</v>
      </c>
      <c r="AB38" s="245">
        <v>350</v>
      </c>
      <c r="AC38" s="245">
        <v>427.75</v>
      </c>
      <c r="AD38" s="216">
        <v>0.16666666666666666</v>
      </c>
      <c r="AF38" s="245">
        <v>350</v>
      </c>
      <c r="AG38" s="245">
        <v>350</v>
      </c>
      <c r="AH38" s="245">
        <v>382.5</v>
      </c>
      <c r="AI38" s="216">
        <f t="shared" si="4"/>
        <v>0</v>
      </c>
      <c r="AJ38" s="216"/>
      <c r="AK38" s="398">
        <v>350</v>
      </c>
      <c r="AL38" s="398">
        <v>209.75</v>
      </c>
      <c r="AM38" s="396">
        <f t="shared" si="1"/>
        <v>0</v>
      </c>
      <c r="AN38" s="396"/>
      <c r="AO38" s="163">
        <v>350</v>
      </c>
      <c r="AP38" s="218">
        <f t="shared" si="3"/>
        <v>0</v>
      </c>
      <c r="AQ38" s="396">
        <f t="shared" si="2"/>
        <v>0</v>
      </c>
      <c r="AR38" s="288"/>
    </row>
    <row r="39" spans="1:53" s="211" customFormat="1" x14ac:dyDescent="0.25">
      <c r="A39" s="211" t="s">
        <v>782</v>
      </c>
      <c r="B39" s="214" t="s">
        <v>310</v>
      </c>
      <c r="C39" s="211" t="s">
        <v>1605</v>
      </c>
      <c r="D39" s="245">
        <v>750</v>
      </c>
      <c r="E39" s="245">
        <v>568.76</v>
      </c>
      <c r="F39" s="216"/>
      <c r="G39" s="213"/>
      <c r="H39" s="245">
        <v>750</v>
      </c>
      <c r="I39" s="245">
        <v>410.46</v>
      </c>
      <c r="J39" s="216">
        <v>0</v>
      </c>
      <c r="K39" s="213"/>
      <c r="L39" s="245">
        <v>750</v>
      </c>
      <c r="M39" s="245">
        <v>408</v>
      </c>
      <c r="N39" s="216">
        <v>0</v>
      </c>
      <c r="O39" s="213"/>
      <c r="P39" s="245">
        <v>750</v>
      </c>
      <c r="Q39" s="245">
        <v>852.07</v>
      </c>
      <c r="R39" s="216">
        <v>0</v>
      </c>
      <c r="S39" s="213"/>
      <c r="T39" s="245">
        <v>750</v>
      </c>
      <c r="U39" s="245">
        <v>1551.57</v>
      </c>
      <c r="V39" s="216">
        <v>0</v>
      </c>
      <c r="W39" s="213"/>
      <c r="X39" s="245">
        <v>750</v>
      </c>
      <c r="Y39" s="245">
        <v>607.75</v>
      </c>
      <c r="Z39" s="216">
        <v>0</v>
      </c>
      <c r="AA39" s="213"/>
      <c r="AB39" s="245">
        <v>750</v>
      </c>
      <c r="AC39" s="245">
        <v>1105.75</v>
      </c>
      <c r="AD39" s="216">
        <v>0</v>
      </c>
      <c r="AE39" s="213"/>
      <c r="AF39" s="245">
        <v>750</v>
      </c>
      <c r="AG39" s="245">
        <v>750</v>
      </c>
      <c r="AH39" s="245">
        <v>1025.51</v>
      </c>
      <c r="AI39" s="216">
        <f t="shared" si="4"/>
        <v>0</v>
      </c>
      <c r="AJ39" s="216"/>
      <c r="AK39" s="398">
        <v>750</v>
      </c>
      <c r="AL39" s="398">
        <v>1176.7</v>
      </c>
      <c r="AM39" s="396">
        <f t="shared" si="1"/>
        <v>0</v>
      </c>
      <c r="AN39" s="396"/>
      <c r="AO39" s="163">
        <v>1000</v>
      </c>
      <c r="AP39" s="218">
        <f t="shared" si="3"/>
        <v>250</v>
      </c>
      <c r="AQ39" s="396">
        <f t="shared" si="2"/>
        <v>0.33333333333333331</v>
      </c>
      <c r="AR39" s="289"/>
    </row>
    <row r="40" spans="1:53" s="397" customFormat="1" ht="14.25" hidden="1" x14ac:dyDescent="0.3">
      <c r="A40" s="394" t="s">
        <v>957</v>
      </c>
      <c r="B40" s="394" t="s">
        <v>951</v>
      </c>
      <c r="C40" s="397" t="s">
        <v>1606</v>
      </c>
      <c r="D40" s="398">
        <v>0</v>
      </c>
      <c r="E40" s="398">
        <v>0</v>
      </c>
      <c r="F40" s="396"/>
      <c r="H40" s="398">
        <v>0</v>
      </c>
      <c r="I40" s="398">
        <v>112.67</v>
      </c>
      <c r="J40" s="396" t="e">
        <v>#DIV/0!</v>
      </c>
      <c r="L40" s="398">
        <v>0</v>
      </c>
      <c r="M40" s="398">
        <v>33.299999999999997</v>
      </c>
      <c r="N40" s="396" t="e">
        <v>#DIV/0!</v>
      </c>
      <c r="P40" s="398">
        <v>0</v>
      </c>
      <c r="Q40" s="398">
        <v>0</v>
      </c>
      <c r="R40" s="396" t="e">
        <v>#DIV/0!</v>
      </c>
      <c r="T40" s="398">
        <v>0</v>
      </c>
      <c r="U40" s="398">
        <v>0</v>
      </c>
      <c r="V40" s="396" t="e">
        <v>#DIV/0!</v>
      </c>
      <c r="X40" s="398">
        <v>0</v>
      </c>
      <c r="Y40" s="398">
        <v>0</v>
      </c>
      <c r="Z40" s="396" t="e">
        <v>#DIV/0!</v>
      </c>
      <c r="AB40" s="398">
        <v>0</v>
      </c>
      <c r="AC40" s="398">
        <v>0</v>
      </c>
      <c r="AD40" s="396" t="e">
        <v>#DIV/0!</v>
      </c>
      <c r="AF40" s="398"/>
      <c r="AG40" s="398"/>
      <c r="AH40" s="398"/>
      <c r="AI40" s="396" t="e">
        <f t="shared" si="4"/>
        <v>#DIV/0!</v>
      </c>
      <c r="AJ40" s="396"/>
      <c r="AK40" s="398"/>
      <c r="AL40" s="398"/>
      <c r="AM40" s="396" t="e">
        <f t="shared" si="1"/>
        <v>#DIV/0!</v>
      </c>
      <c r="AN40" s="396"/>
      <c r="AO40" s="163"/>
      <c r="AP40" s="218">
        <f t="shared" si="3"/>
        <v>0</v>
      </c>
      <c r="AQ40" s="396" t="e">
        <f t="shared" si="2"/>
        <v>#DIV/0!</v>
      </c>
      <c r="AR40" s="167"/>
    </row>
    <row r="41" spans="1:53" s="211" customFormat="1" x14ac:dyDescent="0.25">
      <c r="A41" s="211" t="s">
        <v>783</v>
      </c>
      <c r="B41" s="214" t="s">
        <v>312</v>
      </c>
      <c r="C41" s="211" t="s">
        <v>1594</v>
      </c>
      <c r="D41" s="245">
        <v>350</v>
      </c>
      <c r="E41" s="245">
        <v>200</v>
      </c>
      <c r="F41" s="216"/>
      <c r="G41" s="213"/>
      <c r="H41" s="245">
        <v>350</v>
      </c>
      <c r="I41" s="245">
        <v>200</v>
      </c>
      <c r="J41" s="216">
        <v>0</v>
      </c>
      <c r="K41" s="213"/>
      <c r="L41" s="245">
        <v>350</v>
      </c>
      <c r="M41" s="245">
        <v>200</v>
      </c>
      <c r="N41" s="216">
        <v>0</v>
      </c>
      <c r="O41" s="213"/>
      <c r="P41" s="245">
        <v>350</v>
      </c>
      <c r="Q41" s="245">
        <v>200</v>
      </c>
      <c r="R41" s="216">
        <v>0</v>
      </c>
      <c r="S41" s="213"/>
      <c r="T41" s="245">
        <v>350</v>
      </c>
      <c r="U41" s="245">
        <v>200</v>
      </c>
      <c r="V41" s="216">
        <v>0</v>
      </c>
      <c r="W41" s="213"/>
      <c r="X41" s="245">
        <v>350</v>
      </c>
      <c r="Y41" s="245">
        <v>200</v>
      </c>
      <c r="Z41" s="216">
        <v>0</v>
      </c>
      <c r="AA41" s="213"/>
      <c r="AB41" s="245">
        <v>350</v>
      </c>
      <c r="AC41" s="245">
        <v>200</v>
      </c>
      <c r="AD41" s="216">
        <v>0</v>
      </c>
      <c r="AE41" s="213"/>
      <c r="AF41" s="245">
        <v>350</v>
      </c>
      <c r="AG41" s="245">
        <v>350</v>
      </c>
      <c r="AH41" s="245">
        <v>229</v>
      </c>
      <c r="AI41" s="216">
        <f t="shared" si="4"/>
        <v>0</v>
      </c>
      <c r="AJ41" s="216"/>
      <c r="AK41" s="398">
        <v>350</v>
      </c>
      <c r="AL41" s="398">
        <v>200</v>
      </c>
      <c r="AM41" s="396">
        <f t="shared" si="1"/>
        <v>0</v>
      </c>
      <c r="AN41" s="396"/>
      <c r="AO41" s="157">
        <v>350</v>
      </c>
      <c r="AP41" s="218">
        <f t="shared" si="3"/>
        <v>0</v>
      </c>
      <c r="AQ41" s="396">
        <f t="shared" si="2"/>
        <v>0</v>
      </c>
      <c r="AR41" s="159"/>
    </row>
    <row r="42" spans="1:53" s="114" customFormat="1" x14ac:dyDescent="0.25">
      <c r="A42" s="219"/>
      <c r="B42" s="219"/>
      <c r="C42" s="219" t="s">
        <v>279</v>
      </c>
      <c r="D42" s="220">
        <f>SUM(D15:D41)</f>
        <v>83960</v>
      </c>
      <c r="E42" s="220">
        <f>SUM(E15:E41)</f>
        <v>80942.55</v>
      </c>
      <c r="F42" s="221">
        <v>-0.1681</v>
      </c>
      <c r="G42" s="219"/>
      <c r="H42" s="220">
        <f>SUM(H15:H41)</f>
        <v>86810</v>
      </c>
      <c r="I42" s="220">
        <f>SUM(I15:I41)</f>
        <v>81480.900000000023</v>
      </c>
      <c r="J42" s="221">
        <v>-0.1681</v>
      </c>
      <c r="K42" s="219"/>
      <c r="L42" s="220">
        <f>SUM(L15:L41)</f>
        <v>72220</v>
      </c>
      <c r="M42" s="220">
        <f>SUM(M15:M41)</f>
        <v>72215.400000000009</v>
      </c>
      <c r="N42" s="221">
        <v>-0.1681</v>
      </c>
      <c r="O42" s="219"/>
      <c r="P42" s="220">
        <f>SUM(P15:P41)</f>
        <v>82200</v>
      </c>
      <c r="Q42" s="220">
        <f>SUM(Q15:Q41)</f>
        <v>82108.750000000015</v>
      </c>
      <c r="R42" s="221">
        <v>-0.1681</v>
      </c>
      <c r="S42" s="219"/>
      <c r="T42" s="220">
        <f>SUM(T15:T41)</f>
        <v>84713</v>
      </c>
      <c r="U42" s="220">
        <f>SUM(U15:U41)</f>
        <v>84713.000000000015</v>
      </c>
      <c r="V42" s="221">
        <v>-0.1681</v>
      </c>
      <c r="W42" s="219"/>
      <c r="X42" s="220">
        <f>SUM(X15:X41)</f>
        <v>89480</v>
      </c>
      <c r="Y42" s="220">
        <f>SUM(Y15:Y41)</f>
        <v>85647.660000000018</v>
      </c>
      <c r="Z42" s="222">
        <f>(X42-T42)/T42</f>
        <v>5.6272354892401399E-2</v>
      </c>
      <c r="AA42" s="219"/>
      <c r="AB42" s="220">
        <f>SUM(AB15:AB41)</f>
        <v>94679</v>
      </c>
      <c r="AC42" s="220">
        <f>SUM(AC15:AC41)</f>
        <v>92714.919999999984</v>
      </c>
      <c r="AD42" s="221">
        <f>(AB42-X42)/X42</f>
        <v>5.8102369244523916E-2</v>
      </c>
      <c r="AE42" s="219"/>
      <c r="AF42" s="220">
        <f>SUM(AF15:AF41)</f>
        <v>98525</v>
      </c>
      <c r="AG42" s="220">
        <f>SUM(AG15:AG41)</f>
        <v>98525</v>
      </c>
      <c r="AH42" s="220">
        <f>SUM(AH15:AH41)</f>
        <v>98722.049999999974</v>
      </c>
      <c r="AI42" s="221">
        <f>(AG42-AB42)/AB42</f>
        <v>4.0621468329830268E-2</v>
      </c>
      <c r="AJ42" s="221"/>
      <c r="AK42" s="401">
        <f>SUM(AK15:AK41)</f>
        <v>102675</v>
      </c>
      <c r="AL42" s="401">
        <f>SUM(AL15:AL41)</f>
        <v>60341.270000000004</v>
      </c>
      <c r="AM42" s="221">
        <f t="shared" si="1"/>
        <v>4.2121289012940877E-2</v>
      </c>
      <c r="AN42" s="221"/>
      <c r="AO42" s="223">
        <f>SUM(AO15:AO41)</f>
        <v>102275</v>
      </c>
      <c r="AP42" s="220">
        <f>SUM(AP15:AP41)</f>
        <v>-400</v>
      </c>
      <c r="AQ42" s="221">
        <f>(AO42-AK42)/AK42</f>
        <v>-3.8957876795714633E-3</v>
      </c>
      <c r="AR42" s="219"/>
    </row>
    <row r="43" spans="1:53" s="211" customFormat="1" x14ac:dyDescent="0.25">
      <c r="D43" s="112"/>
      <c r="E43" s="112"/>
      <c r="F43" s="216"/>
      <c r="G43" s="213"/>
      <c r="H43" s="112"/>
      <c r="I43" s="112"/>
      <c r="J43" s="216"/>
      <c r="K43" s="213"/>
      <c r="L43" s="112"/>
      <c r="M43" s="112"/>
      <c r="N43" s="216"/>
      <c r="O43" s="213"/>
      <c r="P43" s="112"/>
      <c r="Q43" s="112"/>
      <c r="R43" s="216"/>
      <c r="S43" s="213"/>
      <c r="T43" s="112"/>
      <c r="U43" s="112"/>
      <c r="V43" s="216"/>
      <c r="W43" s="213"/>
      <c r="X43" s="112"/>
      <c r="Y43" s="112"/>
      <c r="Z43" s="216"/>
      <c r="AA43" s="213"/>
      <c r="AB43" s="112"/>
      <c r="AC43" s="112"/>
      <c r="AD43" s="216"/>
      <c r="AE43" s="213"/>
      <c r="AF43" s="112"/>
      <c r="AG43" s="112"/>
      <c r="AH43" s="112"/>
      <c r="AI43" s="216"/>
      <c r="AJ43" s="216"/>
      <c r="AK43" s="112"/>
      <c r="AL43" s="112"/>
      <c r="AM43" s="396"/>
      <c r="AN43" s="396"/>
      <c r="AO43" s="212"/>
      <c r="AP43" s="212"/>
      <c r="AQ43" s="396"/>
    </row>
    <row r="44" spans="1:53" s="114" customFormat="1" ht="12.75" x14ac:dyDescent="0.2">
      <c r="A44" s="228"/>
      <c r="B44" s="228"/>
      <c r="C44" s="233" t="s">
        <v>280</v>
      </c>
      <c r="D44" s="230">
        <f>D12+D42</f>
        <v>267636</v>
      </c>
      <c r="E44" s="230">
        <f>E12+E42</f>
        <v>261724.79000000004</v>
      </c>
      <c r="F44" s="231">
        <v>-2.1899999999999999E-2</v>
      </c>
      <c r="G44" s="228"/>
      <c r="H44" s="230">
        <f>H12+H42</f>
        <v>285672</v>
      </c>
      <c r="I44" s="230">
        <f>I12+I42</f>
        <v>278042.26</v>
      </c>
      <c r="J44" s="231">
        <v>-2.1899999999999999E-2</v>
      </c>
      <c r="K44" s="228"/>
      <c r="L44" s="230">
        <f>L12+L42</f>
        <v>279422.20999999996</v>
      </c>
      <c r="M44" s="230">
        <f>M12+M42</f>
        <v>278189.11000000004</v>
      </c>
      <c r="N44" s="231">
        <v>-2.1899999999999999E-2</v>
      </c>
      <c r="O44" s="228"/>
      <c r="P44" s="230">
        <f>P12+P42</f>
        <v>301221.55</v>
      </c>
      <c r="Q44" s="230">
        <f>Q12+Q42</f>
        <v>300477.32</v>
      </c>
      <c r="R44" s="231">
        <v>-2.1899999999999999E-2</v>
      </c>
      <c r="S44" s="228"/>
      <c r="T44" s="230">
        <f>T12+T42</f>
        <v>315802.7</v>
      </c>
      <c r="U44" s="230">
        <f>U12+U42</f>
        <v>314996.51</v>
      </c>
      <c r="V44" s="231">
        <v>-2.1899999999999999E-2</v>
      </c>
      <c r="W44" s="228"/>
      <c r="X44" s="230">
        <f>X12+X42</f>
        <v>329689.77</v>
      </c>
      <c r="Y44" s="230">
        <f>Y12+Y42</f>
        <v>327811.98000000004</v>
      </c>
      <c r="Z44" s="231">
        <f>(X44-T44)/T44</f>
        <v>4.3973879893997127E-2</v>
      </c>
      <c r="AA44" s="228"/>
      <c r="AB44" s="230">
        <f>AB12+AB42</f>
        <v>348044.2</v>
      </c>
      <c r="AC44" s="230">
        <f>AC12+AC42</f>
        <v>339633.54</v>
      </c>
      <c r="AD44" s="231">
        <f>(AB44-X44)/X44</f>
        <v>5.567182142169589E-2</v>
      </c>
      <c r="AE44" s="228"/>
      <c r="AF44" s="230">
        <f>AF12+AF42</f>
        <v>366617.19880000001</v>
      </c>
      <c r="AG44" s="230">
        <f>AG12+AG42</f>
        <v>382622.59</v>
      </c>
      <c r="AH44" s="230">
        <f>AH12+AH42</f>
        <v>374064.63999999996</v>
      </c>
      <c r="AI44" s="231">
        <f>(AG44-AB44)/AB44</f>
        <v>9.9350570990696052E-2</v>
      </c>
      <c r="AJ44" s="231"/>
      <c r="AK44" s="402">
        <f>AK12+AK42</f>
        <v>405462.61439999996</v>
      </c>
      <c r="AL44" s="402">
        <f>AL12+AL42</f>
        <v>204340.06</v>
      </c>
      <c r="AM44" s="231">
        <f t="shared" si="1"/>
        <v>5.9693350567722452E-2</v>
      </c>
      <c r="AN44" s="231"/>
      <c r="AO44" s="232">
        <f>AO12+AO42</f>
        <v>418013.22698000004</v>
      </c>
      <c r="AP44" s="230">
        <f>AP12+AP42</f>
        <v>12550.612580000008</v>
      </c>
      <c r="AQ44" s="231">
        <f>(AO44-AK44)/AK44</f>
        <v>3.095380963439098E-2</v>
      </c>
      <c r="AR44" s="233"/>
    </row>
    <row r="45" spans="1:53" x14ac:dyDescent="0.25">
      <c r="D45" s="120"/>
      <c r="H45" s="120"/>
      <c r="L45" s="120"/>
      <c r="P45" s="120"/>
      <c r="T45" s="120"/>
      <c r="X45" s="120"/>
      <c r="AB45" s="120"/>
      <c r="AF45" s="120"/>
      <c r="AG45" s="120"/>
      <c r="AK45" s="403"/>
    </row>
    <row r="46" spans="1:53" s="111" customFormat="1" thickBot="1" x14ac:dyDescent="0.25">
      <c r="C46" s="111" t="s">
        <v>281</v>
      </c>
      <c r="D46" s="122"/>
      <c r="E46" s="121">
        <f>D44-E44</f>
        <v>5911.2099999999627</v>
      </c>
      <c r="H46" s="122"/>
      <c r="I46" s="121">
        <f>H44-I44</f>
        <v>7629.7399999999907</v>
      </c>
      <c r="L46" s="122"/>
      <c r="M46" s="121">
        <f>L44-M44</f>
        <v>1233.0999999999185</v>
      </c>
      <c r="P46" s="122"/>
      <c r="Q46" s="121">
        <f>P44-Q44</f>
        <v>744.22999999998137</v>
      </c>
      <c r="T46" s="122"/>
      <c r="U46" s="121">
        <f>T44-U44</f>
        <v>806.19000000000233</v>
      </c>
      <c r="X46" s="122"/>
      <c r="Y46" s="121">
        <f>X44-Y44</f>
        <v>1877.789999999979</v>
      </c>
      <c r="AB46" s="122"/>
      <c r="AC46" s="121">
        <f>AB44-AC44</f>
        <v>8410.6600000000326</v>
      </c>
      <c r="AF46" s="122"/>
      <c r="AG46" s="122"/>
      <c r="AH46" s="121">
        <f>AG44-AH44</f>
        <v>8557.9500000000698</v>
      </c>
      <c r="AK46" s="122"/>
      <c r="AL46" s="121">
        <f>AK44-AL44</f>
        <v>201122.55439999996</v>
      </c>
      <c r="AO46" s="123"/>
      <c r="AP46" s="123"/>
    </row>
    <row r="47" spans="1:53" ht="14.25" thickTop="1" x14ac:dyDescent="0.25">
      <c r="D47" s="120"/>
      <c r="H47" s="120"/>
      <c r="L47" s="120"/>
      <c r="P47" s="120"/>
      <c r="T47" s="120"/>
      <c r="X47" s="120"/>
      <c r="AB47" s="120"/>
      <c r="AF47" s="120"/>
      <c r="AG47" s="120"/>
      <c r="AK47" s="403"/>
      <c r="AO47" s="240" t="s">
        <v>1195</v>
      </c>
      <c r="AP47" s="241"/>
      <c r="AQ47" s="242"/>
      <c r="AR47" s="211"/>
      <c r="AS47" s="111"/>
      <c r="AT47" s="111"/>
      <c r="AU47" s="111"/>
      <c r="AV47" s="111"/>
      <c r="AW47" s="211"/>
      <c r="AX47" s="211"/>
      <c r="AY47" s="211"/>
      <c r="AZ47" s="211"/>
      <c r="BA47" s="211"/>
    </row>
    <row r="48" spans="1:53" x14ac:dyDescent="0.25">
      <c r="A48" s="397"/>
      <c r="B48" s="397"/>
      <c r="C48" s="416"/>
      <c r="D48" s="413"/>
      <c r="E48" s="397"/>
      <c r="F48" s="397"/>
      <c r="G48" s="397"/>
      <c r="H48" s="413"/>
      <c r="I48" s="397"/>
      <c r="J48" s="397"/>
      <c r="K48" s="397"/>
      <c r="L48" s="413"/>
      <c r="M48" s="397"/>
      <c r="N48" s="397"/>
      <c r="O48" s="397"/>
      <c r="P48" s="413"/>
      <c r="Q48" s="397"/>
      <c r="R48" s="397"/>
      <c r="S48" s="397"/>
      <c r="T48" s="413"/>
      <c r="U48" s="397"/>
      <c r="V48" s="397"/>
      <c r="W48" s="397"/>
      <c r="X48" s="413"/>
      <c r="Y48" s="397"/>
      <c r="Z48" s="397"/>
      <c r="AA48" s="397"/>
      <c r="AB48" s="413"/>
      <c r="AC48" s="397"/>
      <c r="AD48" s="397"/>
      <c r="AE48" s="397"/>
      <c r="AF48" s="413"/>
      <c r="AG48" s="413"/>
      <c r="AH48" s="397"/>
      <c r="AI48" s="397"/>
      <c r="AJ48" s="397"/>
      <c r="AK48" s="413"/>
      <c r="AL48" s="397"/>
      <c r="AM48" s="397"/>
      <c r="AN48" s="397"/>
      <c r="AO48" s="243" t="s">
        <v>313</v>
      </c>
      <c r="AP48" s="5"/>
      <c r="AQ48" s="299">
        <f>AO12*0.0145</f>
        <v>4578.2042912100005</v>
      </c>
      <c r="AR48" s="211"/>
      <c r="AS48" s="211"/>
      <c r="AT48" s="211"/>
      <c r="AU48" s="211"/>
      <c r="AV48" s="211"/>
      <c r="AW48" s="211"/>
      <c r="AX48" s="211"/>
      <c r="AY48" s="211"/>
      <c r="AZ48" s="211"/>
      <c r="BA48" s="211"/>
    </row>
    <row r="49" spans="1:53" x14ac:dyDescent="0.25">
      <c r="A49" s="176"/>
      <c r="B49" s="397"/>
      <c r="C49" s="176"/>
      <c r="D49" s="399"/>
      <c r="E49" s="399"/>
      <c r="F49" s="4"/>
      <c r="G49" s="397"/>
      <c r="H49" s="399"/>
      <c r="I49" s="399"/>
      <c r="J49" s="4"/>
      <c r="K49" s="397"/>
      <c r="L49" s="399"/>
      <c r="M49" s="399"/>
      <c r="N49" s="4"/>
      <c r="O49" s="397"/>
      <c r="P49" s="399"/>
      <c r="Q49" s="399"/>
      <c r="R49" s="4"/>
      <c r="S49" s="397"/>
      <c r="T49" s="399"/>
      <c r="U49" s="399"/>
      <c r="V49" s="4"/>
      <c r="W49" s="397"/>
      <c r="X49" s="399"/>
      <c r="Y49" s="399"/>
      <c r="Z49" s="4"/>
      <c r="AA49" s="397"/>
      <c r="AB49" s="413"/>
      <c r="AC49" s="397"/>
      <c r="AD49" s="397"/>
      <c r="AE49" s="397"/>
      <c r="AF49" s="413"/>
      <c r="AG49" s="413"/>
      <c r="AH49" s="397"/>
      <c r="AI49" s="397"/>
      <c r="AJ49" s="397"/>
      <c r="AK49" s="413"/>
      <c r="AL49" s="397"/>
      <c r="AM49" s="397"/>
      <c r="AN49" s="397"/>
      <c r="AO49" s="210" t="s">
        <v>314</v>
      </c>
      <c r="AP49" s="5"/>
      <c r="AQ49" s="299">
        <f>AO12*0.0009</f>
        <v>284.16440428200002</v>
      </c>
      <c r="AR49" s="211"/>
      <c r="AS49" s="213"/>
      <c r="AT49" s="213"/>
      <c r="AU49" s="213"/>
      <c r="AV49" s="213"/>
      <c r="AW49" s="211"/>
      <c r="AX49" s="211"/>
      <c r="AY49" s="211"/>
      <c r="AZ49" s="211"/>
      <c r="BA49" s="211"/>
    </row>
    <row r="50" spans="1:53" x14ac:dyDescent="0.25">
      <c r="A50" s="397"/>
      <c r="B50" s="397"/>
      <c r="C50" s="118"/>
      <c r="D50" s="415"/>
      <c r="E50" s="415"/>
      <c r="F50" s="4"/>
      <c r="G50" s="118"/>
      <c r="H50" s="415"/>
      <c r="I50" s="415"/>
      <c r="J50" s="4"/>
      <c r="K50" s="118"/>
      <c r="L50" s="415"/>
      <c r="M50" s="415"/>
      <c r="N50" s="4"/>
      <c r="O50" s="118"/>
      <c r="P50" s="415"/>
      <c r="Q50" s="415"/>
      <c r="R50" s="4"/>
      <c r="S50" s="118"/>
      <c r="T50" s="415"/>
      <c r="U50" s="415"/>
      <c r="V50" s="4"/>
      <c r="W50" s="118"/>
      <c r="X50" s="415"/>
      <c r="Y50" s="415"/>
      <c r="Z50" s="415"/>
      <c r="AA50" s="397"/>
      <c r="AB50" s="413"/>
      <c r="AC50" s="397"/>
      <c r="AD50" s="397"/>
      <c r="AE50" s="397"/>
      <c r="AF50" s="413"/>
      <c r="AG50" s="413"/>
      <c r="AH50" s="397"/>
      <c r="AI50" s="397"/>
      <c r="AJ50" s="154"/>
      <c r="AK50" s="413"/>
      <c r="AL50" s="397"/>
      <c r="AM50" s="397"/>
      <c r="AN50" s="154"/>
      <c r="AO50" s="210" t="s">
        <v>315</v>
      </c>
      <c r="AP50" s="5"/>
      <c r="AQ50" s="299">
        <f>AO12*0.003</f>
        <v>947.21468094000011</v>
      </c>
      <c r="AR50" s="211"/>
      <c r="AS50" s="211"/>
      <c r="AT50" s="211"/>
      <c r="AU50" s="211"/>
      <c r="AV50" s="211"/>
      <c r="AW50" s="211"/>
      <c r="AX50" s="211"/>
      <c r="AY50" s="211"/>
      <c r="AZ50" s="211"/>
      <c r="BA50" s="211"/>
    </row>
    <row r="51" spans="1:53" x14ac:dyDescent="0.25">
      <c r="A51" s="397"/>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210" t="s">
        <v>316</v>
      </c>
      <c r="AP51" s="5"/>
      <c r="AQ51" s="299">
        <f>'County Retirement'!G28</f>
        <v>31755.718656847723</v>
      </c>
      <c r="AR51" s="211"/>
      <c r="AS51" s="147"/>
      <c r="AT51" s="147"/>
      <c r="AU51" s="147"/>
      <c r="AV51" s="147"/>
      <c r="AW51" s="211"/>
      <c r="AX51" s="211"/>
      <c r="AY51" s="211"/>
      <c r="AZ51" s="211"/>
      <c r="BA51" s="211"/>
    </row>
    <row r="52" spans="1:53" x14ac:dyDescent="0.25">
      <c r="AO52" s="210" t="s">
        <v>317</v>
      </c>
      <c r="AP52" s="5"/>
      <c r="AQ52" s="300">
        <f>'Health Ins'!L36</f>
        <v>45450</v>
      </c>
      <c r="AR52" s="211"/>
      <c r="AS52" s="211"/>
      <c r="AT52" s="211"/>
      <c r="AU52" s="211"/>
      <c r="AV52" s="211"/>
      <c r="AW52" s="211"/>
      <c r="AX52" s="211"/>
      <c r="AY52" s="211"/>
      <c r="AZ52" s="211"/>
      <c r="BA52" s="211"/>
    </row>
    <row r="53" spans="1:53" x14ac:dyDescent="0.25">
      <c r="AO53" s="235"/>
      <c r="AP53" s="237"/>
      <c r="AQ53" s="301">
        <f>SUM(AQ48:AQ52)</f>
        <v>83015.302033279731</v>
      </c>
      <c r="AR53" s="211"/>
      <c r="AS53" s="114"/>
      <c r="AT53" s="114"/>
      <c r="AU53" s="114"/>
      <c r="AV53" s="114"/>
      <c r="AW53" s="211"/>
      <c r="AX53" s="211"/>
      <c r="AY53" s="211"/>
      <c r="AZ53" s="211"/>
      <c r="BA53" s="211"/>
    </row>
    <row r="54" spans="1:53" x14ac:dyDescent="0.25">
      <c r="AO54" s="212"/>
      <c r="AP54" s="212"/>
      <c r="AQ54" s="211"/>
      <c r="AR54" s="211"/>
      <c r="AS54" s="211"/>
      <c r="AT54" s="211"/>
      <c r="AU54" s="211"/>
      <c r="AV54" s="211"/>
      <c r="AW54" s="211"/>
      <c r="AX54" s="211"/>
      <c r="AY54" s="211"/>
      <c r="AZ54" s="211"/>
      <c r="BA54" s="211"/>
    </row>
    <row r="55" spans="1:53" x14ac:dyDescent="0.25">
      <c r="AO55" s="212"/>
      <c r="AP55" s="212"/>
      <c r="AQ55" s="211"/>
      <c r="AR55" s="211"/>
      <c r="AS55" s="211"/>
      <c r="AT55" s="211"/>
      <c r="AU55" s="211"/>
      <c r="AV55" s="211"/>
      <c r="AW55" s="211"/>
      <c r="AX55" s="211"/>
      <c r="AY55" s="211"/>
      <c r="AZ55" s="211"/>
      <c r="BA55" s="211"/>
    </row>
    <row r="56" spans="1:53" x14ac:dyDescent="0.25">
      <c r="AO56" s="212"/>
      <c r="AP56" s="212"/>
      <c r="AQ56" s="211"/>
      <c r="AR56" s="211"/>
      <c r="AS56" s="211"/>
      <c r="AT56" s="211"/>
      <c r="AU56" s="211"/>
      <c r="AV56" s="211"/>
      <c r="AW56" s="211"/>
      <c r="AX56" s="211"/>
      <c r="AY56" s="211"/>
      <c r="AZ56" s="211"/>
      <c r="BA56" s="211"/>
    </row>
    <row r="57" spans="1:53" x14ac:dyDescent="0.25">
      <c r="AO57" s="131"/>
      <c r="AP57" s="131"/>
      <c r="AQ57" s="211"/>
      <c r="AR57" s="211"/>
      <c r="AS57" s="211"/>
      <c r="AT57" s="211"/>
      <c r="AU57" s="211"/>
      <c r="AV57" s="211"/>
      <c r="AW57" s="211"/>
      <c r="AX57" s="211"/>
      <c r="AY57" s="211"/>
      <c r="AZ57" s="211"/>
      <c r="BA57" s="211"/>
    </row>
    <row r="58" spans="1:53" x14ac:dyDescent="0.25">
      <c r="AO58" s="131"/>
      <c r="AP58" s="131"/>
      <c r="AQ58" s="211"/>
      <c r="AR58" s="211"/>
      <c r="AS58" s="211"/>
      <c r="AT58" s="211"/>
      <c r="AU58" s="211"/>
      <c r="AV58" s="211"/>
      <c r="AW58" s="211"/>
      <c r="AX58" s="211"/>
      <c r="AY58" s="211"/>
      <c r="AZ58" s="211"/>
      <c r="BA58" s="211"/>
    </row>
    <row r="59" spans="1:53" x14ac:dyDescent="0.25">
      <c r="AO59" s="212"/>
      <c r="AP59" s="212"/>
      <c r="AQ59" s="211"/>
      <c r="AR59" s="211"/>
      <c r="AS59" s="211"/>
      <c r="AT59" s="211"/>
      <c r="AU59" s="211"/>
      <c r="AV59" s="211"/>
      <c r="AW59" s="211"/>
      <c r="AX59" s="211"/>
      <c r="AY59" s="211"/>
      <c r="AZ59" s="211"/>
      <c r="BA59" s="211"/>
    </row>
    <row r="60" spans="1:53" x14ac:dyDescent="0.25">
      <c r="AO60" s="131"/>
      <c r="AP60" s="211"/>
      <c r="AQ60" s="211"/>
      <c r="AR60" s="211"/>
      <c r="AS60" s="211"/>
      <c r="AT60" s="211"/>
      <c r="AU60" s="211"/>
      <c r="AV60" s="211"/>
      <c r="AW60" s="211"/>
      <c r="AX60" s="211"/>
      <c r="AY60" s="211"/>
      <c r="AZ60" s="211"/>
      <c r="BA60" s="211"/>
    </row>
    <row r="61" spans="1:53" x14ac:dyDescent="0.25">
      <c r="D61" s="120"/>
      <c r="H61" s="120"/>
      <c r="L61" s="120"/>
      <c r="P61" s="120"/>
      <c r="T61" s="120"/>
      <c r="X61" s="120"/>
      <c r="AB61" s="120"/>
      <c r="AF61" s="120"/>
      <c r="AG61" s="120"/>
      <c r="AK61" s="403"/>
      <c r="AO61" s="131"/>
      <c r="AP61" s="211"/>
      <c r="AQ61" s="211"/>
      <c r="AR61" s="211"/>
      <c r="AS61" s="211"/>
      <c r="AT61" s="211"/>
      <c r="AU61" s="211"/>
      <c r="AV61" s="211"/>
      <c r="AW61" s="211"/>
      <c r="AX61" s="211"/>
      <c r="AY61" s="211"/>
      <c r="AZ61" s="211"/>
      <c r="BA61" s="211"/>
    </row>
    <row r="62" spans="1:53" x14ac:dyDescent="0.25">
      <c r="D62" s="120"/>
      <c r="H62" s="120"/>
      <c r="L62" s="120"/>
      <c r="P62" s="120"/>
      <c r="T62" s="120"/>
      <c r="X62" s="120"/>
      <c r="AB62" s="120"/>
      <c r="AF62" s="120"/>
      <c r="AG62" s="120"/>
      <c r="AK62" s="403"/>
      <c r="AO62" s="131"/>
      <c r="AP62" s="211"/>
      <c r="AQ62" s="211"/>
      <c r="AR62" s="211"/>
      <c r="AS62" s="211"/>
      <c r="AT62" s="211"/>
      <c r="AU62" s="211"/>
      <c r="AV62" s="211"/>
      <c r="AW62" s="211"/>
      <c r="AX62" s="211"/>
      <c r="AY62" s="211"/>
      <c r="AZ62" s="211"/>
      <c r="BA62" s="211"/>
    </row>
    <row r="63" spans="1:53" x14ac:dyDescent="0.25">
      <c r="D63" s="120"/>
      <c r="H63" s="120"/>
      <c r="L63" s="120"/>
      <c r="P63" s="120"/>
      <c r="T63" s="120"/>
      <c r="X63" s="120"/>
      <c r="AB63" s="120"/>
      <c r="AF63" s="120"/>
      <c r="AG63" s="120"/>
      <c r="AK63" s="403"/>
      <c r="AO63" s="212"/>
      <c r="AP63" s="212"/>
      <c r="AQ63" s="211"/>
      <c r="AR63" s="211"/>
      <c r="AS63" s="211"/>
      <c r="AT63" s="211"/>
      <c r="AU63" s="211"/>
      <c r="AV63" s="211"/>
      <c r="AW63" s="211"/>
      <c r="AX63" s="211"/>
      <c r="AY63" s="211"/>
      <c r="AZ63" s="211"/>
      <c r="BA63" s="211"/>
    </row>
    <row r="64" spans="1:53" x14ac:dyDescent="0.25">
      <c r="D64" s="120"/>
      <c r="H64" s="120"/>
      <c r="L64" s="120"/>
      <c r="P64" s="120"/>
      <c r="T64" s="120"/>
      <c r="X64" s="120"/>
      <c r="AB64" s="120"/>
      <c r="AF64" s="120"/>
      <c r="AG64" s="120"/>
      <c r="AK64" s="403"/>
      <c r="AO64" s="212"/>
      <c r="AP64" s="212"/>
      <c r="AQ64" s="211"/>
      <c r="AR64" s="211"/>
      <c r="AS64" s="211"/>
      <c r="AT64" s="211"/>
      <c r="AU64" s="211"/>
      <c r="AV64" s="211"/>
      <c r="AW64" s="211"/>
      <c r="AX64" s="211"/>
      <c r="AY64" s="211"/>
      <c r="AZ64" s="211"/>
      <c r="BA64" s="211"/>
    </row>
    <row r="65" spans="4:53" x14ac:dyDescent="0.25">
      <c r="D65" s="120"/>
      <c r="H65" s="120"/>
      <c r="L65" s="120"/>
      <c r="P65" s="120"/>
      <c r="T65" s="120"/>
      <c r="X65" s="120"/>
      <c r="AB65" s="120"/>
      <c r="AF65" s="120"/>
      <c r="AG65" s="120"/>
      <c r="AK65" s="403"/>
      <c r="AO65" s="212"/>
      <c r="AP65" s="212"/>
      <c r="AQ65" s="211"/>
      <c r="AR65" s="211"/>
      <c r="AS65" s="211"/>
      <c r="AT65" s="211"/>
      <c r="AU65" s="211"/>
      <c r="AV65" s="211"/>
      <c r="AW65" s="211"/>
      <c r="AX65" s="211"/>
      <c r="AY65" s="211"/>
      <c r="AZ65" s="211"/>
      <c r="BA65" s="211"/>
    </row>
    <row r="66" spans="4:53" x14ac:dyDescent="0.25">
      <c r="D66" s="120"/>
      <c r="H66" s="120"/>
      <c r="L66" s="120"/>
      <c r="P66" s="120"/>
      <c r="T66" s="120"/>
      <c r="X66" s="120"/>
      <c r="AB66" s="120"/>
      <c r="AF66" s="120"/>
      <c r="AG66" s="120"/>
      <c r="AK66" s="403"/>
      <c r="AO66" s="212"/>
      <c r="AP66" s="212"/>
      <c r="AQ66" s="211"/>
      <c r="AR66" s="211"/>
      <c r="AS66" s="211"/>
      <c r="AT66" s="211"/>
      <c r="AU66" s="211"/>
      <c r="AV66" s="211"/>
      <c r="AW66" s="211"/>
      <c r="AX66" s="211"/>
      <c r="AY66" s="211"/>
      <c r="AZ66" s="211"/>
      <c r="BA66" s="211"/>
    </row>
    <row r="67" spans="4:53" x14ac:dyDescent="0.25">
      <c r="D67" s="120"/>
      <c r="H67" s="120"/>
      <c r="L67" s="120"/>
      <c r="P67" s="120"/>
      <c r="T67" s="120"/>
      <c r="X67" s="120"/>
      <c r="AB67" s="120"/>
      <c r="AF67" s="120"/>
      <c r="AG67" s="120"/>
      <c r="AK67" s="403"/>
      <c r="AO67" s="212"/>
      <c r="AP67" s="212"/>
      <c r="AQ67" s="211"/>
      <c r="AR67" s="211"/>
      <c r="AS67" s="211"/>
      <c r="AT67" s="211"/>
      <c r="AU67" s="211"/>
      <c r="AV67" s="211"/>
      <c r="AW67" s="211"/>
      <c r="AX67" s="211"/>
      <c r="AY67" s="211"/>
      <c r="AZ67" s="211"/>
      <c r="BA67" s="211"/>
    </row>
    <row r="68" spans="4:53" x14ac:dyDescent="0.25">
      <c r="D68" s="120"/>
      <c r="H68" s="120"/>
      <c r="L68" s="120"/>
      <c r="P68" s="120"/>
      <c r="T68" s="120"/>
      <c r="X68" s="120"/>
      <c r="AB68" s="120"/>
      <c r="AF68" s="120"/>
      <c r="AG68" s="120"/>
      <c r="AK68" s="403"/>
      <c r="AO68" s="212"/>
      <c r="AP68" s="212"/>
      <c r="AQ68" s="211"/>
      <c r="AR68" s="211"/>
      <c r="AS68" s="211"/>
      <c r="AT68" s="211"/>
      <c r="AU68" s="211"/>
      <c r="AV68" s="211"/>
      <c r="AW68" s="211"/>
      <c r="AX68" s="211"/>
      <c r="AY68" s="211"/>
      <c r="AZ68" s="211"/>
      <c r="BA68" s="211"/>
    </row>
    <row r="69" spans="4:53" x14ac:dyDescent="0.25">
      <c r="D69" s="120"/>
      <c r="H69" s="120"/>
      <c r="L69" s="120"/>
      <c r="P69" s="120"/>
      <c r="T69" s="120"/>
      <c r="X69" s="120"/>
      <c r="AB69" s="120"/>
      <c r="AF69" s="120"/>
      <c r="AG69" s="120"/>
      <c r="AK69" s="403"/>
      <c r="AO69" s="212"/>
      <c r="AP69" s="212"/>
      <c r="AQ69" s="211"/>
      <c r="AR69" s="211"/>
      <c r="AS69" s="211"/>
      <c r="AT69" s="211"/>
      <c r="AU69" s="211"/>
      <c r="AV69" s="211"/>
      <c r="AW69" s="211"/>
      <c r="AX69" s="211"/>
      <c r="AY69" s="211"/>
      <c r="AZ69" s="211"/>
      <c r="BA69" s="211"/>
    </row>
    <row r="70" spans="4:53" x14ac:dyDescent="0.25">
      <c r="D70" s="120"/>
      <c r="H70" s="120"/>
      <c r="L70" s="120"/>
      <c r="P70" s="120"/>
      <c r="T70" s="120"/>
      <c r="X70" s="120"/>
      <c r="AB70" s="120"/>
      <c r="AF70" s="120"/>
      <c r="AG70" s="120"/>
      <c r="AK70" s="403"/>
      <c r="AO70" s="212"/>
      <c r="AP70" s="212"/>
      <c r="AQ70" s="211"/>
      <c r="AR70" s="211"/>
      <c r="AS70" s="211"/>
      <c r="AT70" s="211"/>
      <c r="AU70" s="211"/>
      <c r="AV70" s="211"/>
      <c r="AW70" s="211"/>
      <c r="AX70" s="211"/>
      <c r="AY70" s="211"/>
      <c r="AZ70" s="211"/>
      <c r="BA70" s="211"/>
    </row>
    <row r="71" spans="4:53" x14ac:dyDescent="0.25">
      <c r="D71" s="120"/>
      <c r="H71" s="120"/>
      <c r="L71" s="120"/>
      <c r="P71" s="120"/>
      <c r="T71" s="120"/>
      <c r="X71" s="120"/>
      <c r="AB71" s="120"/>
      <c r="AF71" s="120"/>
      <c r="AG71" s="120"/>
      <c r="AK71" s="403"/>
    </row>
    <row r="72" spans="4:53" x14ac:dyDescent="0.25">
      <c r="D72" s="120"/>
      <c r="H72" s="120"/>
      <c r="L72" s="120"/>
      <c r="P72" s="120"/>
      <c r="T72" s="120"/>
      <c r="X72" s="120"/>
      <c r="AB72" s="120"/>
      <c r="AF72" s="120"/>
      <c r="AG72" s="120"/>
      <c r="AK72" s="403"/>
    </row>
    <row r="73" spans="4:53" x14ac:dyDescent="0.25">
      <c r="D73" s="120"/>
      <c r="H73" s="120"/>
      <c r="L73" s="120"/>
      <c r="P73" s="120"/>
      <c r="T73" s="120"/>
      <c r="X73" s="120"/>
      <c r="AB73" s="120"/>
      <c r="AF73" s="120"/>
      <c r="AG73" s="120"/>
      <c r="AK73" s="403"/>
    </row>
    <row r="74" spans="4:53" x14ac:dyDescent="0.25">
      <c r="D74" s="120"/>
      <c r="H74" s="120"/>
      <c r="L74" s="120"/>
      <c r="P74" s="120"/>
      <c r="T74" s="120"/>
      <c r="X74" s="120"/>
      <c r="AB74" s="120"/>
      <c r="AF74" s="120"/>
      <c r="AG74" s="120"/>
      <c r="AK74" s="403"/>
    </row>
    <row r="75" spans="4:53" x14ac:dyDescent="0.25">
      <c r="D75" s="120"/>
      <c r="H75" s="120"/>
      <c r="L75" s="120"/>
      <c r="P75" s="120"/>
      <c r="T75" s="120"/>
      <c r="X75" s="120"/>
      <c r="AB75" s="120"/>
      <c r="AF75" s="120"/>
      <c r="AG75" s="120"/>
      <c r="AK75" s="403"/>
    </row>
    <row r="76" spans="4:53" x14ac:dyDescent="0.25">
      <c r="D76" s="120"/>
      <c r="H76" s="120"/>
      <c r="L76" s="120"/>
      <c r="P76" s="120"/>
      <c r="T76" s="120"/>
      <c r="X76" s="120"/>
      <c r="AB76" s="120"/>
      <c r="AF76" s="120"/>
      <c r="AG76" s="120"/>
      <c r="AK76" s="403"/>
    </row>
    <row r="77" spans="4:53" x14ac:dyDescent="0.25">
      <c r="D77" s="120"/>
      <c r="H77" s="120"/>
      <c r="L77" s="120"/>
      <c r="P77" s="120"/>
      <c r="T77" s="120"/>
      <c r="X77" s="120"/>
      <c r="AB77" s="120"/>
      <c r="AF77" s="120"/>
      <c r="AG77" s="120"/>
      <c r="AK77" s="403"/>
    </row>
    <row r="78" spans="4:53" x14ac:dyDescent="0.25">
      <c r="D78" s="120"/>
      <c r="H78" s="120"/>
      <c r="L78" s="120"/>
      <c r="P78" s="120"/>
      <c r="T78" s="120"/>
      <c r="X78" s="120"/>
      <c r="AB78" s="120"/>
      <c r="AF78" s="120"/>
      <c r="AG78" s="120"/>
      <c r="AK78" s="403"/>
    </row>
    <row r="79" spans="4:53" x14ac:dyDescent="0.25">
      <c r="D79" s="120"/>
      <c r="H79" s="120"/>
      <c r="L79" s="120"/>
      <c r="P79" s="120"/>
      <c r="T79" s="120"/>
      <c r="X79" s="120"/>
      <c r="AB79" s="120"/>
      <c r="AF79" s="120"/>
      <c r="AG79" s="120"/>
      <c r="AK79" s="403"/>
    </row>
    <row r="80" spans="4:53"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4"/>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row r="388" spans="4:37" x14ac:dyDescent="0.25">
      <c r="D388" s="120"/>
      <c r="H388" s="120"/>
      <c r="L388" s="120"/>
      <c r="P388" s="120"/>
      <c r="T388" s="120"/>
      <c r="X388" s="120"/>
      <c r="AB388" s="120"/>
      <c r="AF388" s="120"/>
      <c r="AG388" s="120"/>
      <c r="AK388" s="403"/>
    </row>
    <row r="389" spans="4:37" x14ac:dyDescent="0.25">
      <c r="D389" s="120"/>
      <c r="H389" s="120"/>
      <c r="L389" s="120"/>
      <c r="P389" s="120"/>
      <c r="T389" s="120"/>
      <c r="X389" s="120"/>
      <c r="AB389" s="120"/>
      <c r="AF389" s="120"/>
      <c r="AG389" s="120"/>
      <c r="AK389" s="403"/>
    </row>
    <row r="390" spans="4:37" x14ac:dyDescent="0.25">
      <c r="D390" s="120"/>
      <c r="H390" s="120"/>
      <c r="L390" s="120"/>
      <c r="P390" s="120"/>
      <c r="T390" s="120"/>
      <c r="X390" s="120"/>
      <c r="AB390" s="120"/>
      <c r="AF390" s="120"/>
      <c r="AG390" s="120"/>
      <c r="AK390" s="403"/>
    </row>
    <row r="391" spans="4:37" x14ac:dyDescent="0.25">
      <c r="D391" s="120"/>
      <c r="H391" s="120"/>
      <c r="L391" s="120"/>
      <c r="P391" s="120"/>
      <c r="T391" s="120"/>
      <c r="X391" s="120"/>
      <c r="AB391" s="120"/>
      <c r="AF391" s="120"/>
      <c r="AG391" s="120"/>
      <c r="AK391" s="403"/>
    </row>
    <row r="392" spans="4:37" x14ac:dyDescent="0.25">
      <c r="D392" s="120"/>
      <c r="H392" s="120"/>
      <c r="L392" s="120"/>
      <c r="P392" s="120"/>
      <c r="T392" s="120"/>
      <c r="X392" s="120"/>
      <c r="AB392" s="120"/>
      <c r="AF392" s="120"/>
      <c r="AG392" s="120"/>
      <c r="AK392" s="403"/>
    </row>
    <row r="393" spans="4:37" x14ac:dyDescent="0.25">
      <c r="D393" s="120"/>
      <c r="H393" s="120"/>
      <c r="L393" s="120"/>
      <c r="P393" s="120"/>
      <c r="T393" s="120"/>
      <c r="X393" s="120"/>
      <c r="AB393" s="120"/>
      <c r="AF393" s="120"/>
      <c r="AG393" s="120"/>
      <c r="AK393" s="403"/>
    </row>
    <row r="394" spans="4:37" x14ac:dyDescent="0.25">
      <c r="D394" s="120"/>
      <c r="H394" s="120"/>
      <c r="L394" s="120"/>
      <c r="P394" s="120"/>
      <c r="T394" s="120"/>
      <c r="X394" s="120"/>
      <c r="AB394" s="120"/>
      <c r="AF394" s="120"/>
      <c r="AG394" s="120"/>
      <c r="AK394" s="403"/>
    </row>
    <row r="395" spans="4:37" x14ac:dyDescent="0.25">
      <c r="D395" s="120"/>
      <c r="H395" s="120"/>
      <c r="L395" s="120"/>
      <c r="P395" s="120"/>
      <c r="T395" s="120"/>
      <c r="X395" s="120"/>
      <c r="AB395" s="120"/>
      <c r="AF395" s="120"/>
      <c r="AG395" s="120"/>
      <c r="AK395" s="403"/>
    </row>
    <row r="396" spans="4:37" x14ac:dyDescent="0.25">
      <c r="D396" s="120"/>
      <c r="H396" s="120"/>
      <c r="L396" s="120"/>
      <c r="P396" s="120"/>
      <c r="T396" s="120"/>
      <c r="X396" s="120"/>
      <c r="AB396" s="120"/>
      <c r="AF396" s="120"/>
      <c r="AG396" s="120"/>
      <c r="AK396" s="403"/>
    </row>
    <row r="397" spans="4:37" x14ac:dyDescent="0.25">
      <c r="D397" s="120"/>
      <c r="H397" s="120"/>
      <c r="L397" s="120"/>
      <c r="P397" s="120"/>
      <c r="T397" s="120"/>
      <c r="X397" s="120"/>
      <c r="AB397" s="120"/>
      <c r="AF397" s="120"/>
      <c r="AG397" s="120"/>
      <c r="AK397" s="403"/>
    </row>
    <row r="398" spans="4:37" x14ac:dyDescent="0.25">
      <c r="D398" s="120"/>
      <c r="H398" s="120"/>
      <c r="L398" s="120"/>
      <c r="P398" s="120"/>
      <c r="T398" s="120"/>
      <c r="X398" s="120"/>
      <c r="AB398" s="120"/>
      <c r="AF398" s="120"/>
      <c r="AG398" s="120"/>
      <c r="AK398" s="403"/>
    </row>
    <row r="399" spans="4:37" x14ac:dyDescent="0.25">
      <c r="D399" s="120"/>
      <c r="H399" s="120"/>
      <c r="L399" s="120"/>
      <c r="P399" s="120"/>
      <c r="T399" s="120"/>
      <c r="X399" s="120"/>
      <c r="AB399" s="120"/>
      <c r="AF399" s="120"/>
      <c r="AG399" s="120"/>
      <c r="AK399" s="403"/>
    </row>
    <row r="400" spans="4:37" x14ac:dyDescent="0.25">
      <c r="D400" s="120"/>
      <c r="H400" s="120"/>
      <c r="L400" s="120"/>
      <c r="P400" s="120"/>
      <c r="T400" s="120"/>
      <c r="X400" s="120"/>
      <c r="AB400" s="120"/>
      <c r="AF400" s="120"/>
      <c r="AG400" s="120"/>
      <c r="AK400" s="403"/>
    </row>
    <row r="401" spans="4:37" x14ac:dyDescent="0.25">
      <c r="D401" s="120"/>
      <c r="H401" s="120"/>
      <c r="L401" s="120"/>
      <c r="P401" s="120"/>
      <c r="T401" s="120"/>
      <c r="X401" s="120"/>
      <c r="AB401" s="120"/>
      <c r="AF401" s="120"/>
      <c r="AG401" s="120"/>
      <c r="AK401" s="403"/>
    </row>
    <row r="402" spans="4:37" x14ac:dyDescent="0.25">
      <c r="D402" s="120"/>
      <c r="H402" s="120"/>
      <c r="L402" s="120"/>
      <c r="P402" s="120"/>
      <c r="T402" s="120"/>
      <c r="X402" s="120"/>
      <c r="AB402" s="120"/>
      <c r="AF402" s="120"/>
      <c r="AG402" s="120"/>
      <c r="AK402" s="403"/>
    </row>
  </sheetData>
  <mergeCells count="10">
    <mergeCell ref="D3:F3"/>
    <mergeCell ref="T3:V3"/>
    <mergeCell ref="X3:Z3"/>
    <mergeCell ref="AB3:AD3"/>
    <mergeCell ref="AO3:AR3"/>
    <mergeCell ref="AF3:AI3"/>
    <mergeCell ref="P3:R3"/>
    <mergeCell ref="H3:J3"/>
    <mergeCell ref="L3:N3"/>
    <mergeCell ref="AK3:AN3"/>
  </mergeCells>
  <pageMargins left="0.75" right="0.75" top="1" bottom="1" header="0.5" footer="0.5"/>
  <pageSetup paperSize="5" scale="69" orientation="landscape" r:id="rId1"/>
  <headerFooter alignWithMargins="0">
    <oddHeader>&amp;C&amp;"-,Bold"Proposed Budget &amp; Analysis Report for FY20</oddHeader>
    <oddFooter>&amp;C&amp;D&amp;T&amp;R&amp;A</oddFooter>
  </headerFooter>
  <rowBreaks count="1" manualBreakCount="1">
    <brk id="46" min="1" max="3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A397"/>
  <sheetViews>
    <sheetView topLeftCell="A17"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1.85546875" style="161" customWidth="1"/>
    <col min="4" max="4" width="11.5703125" style="211" hidden="1" customWidth="1"/>
    <col min="5" max="5" width="12.140625" style="211" hidden="1" customWidth="1"/>
    <col min="6" max="6" width="6.140625" style="211" hidden="1" customWidth="1"/>
    <col min="7" max="7" width="2.42578125" style="211" hidden="1" customWidth="1"/>
    <col min="8" max="8" width="11.5703125" style="211" hidden="1" customWidth="1"/>
    <col min="9" max="9" width="12.140625" style="211" hidden="1" customWidth="1"/>
    <col min="10" max="10" width="6.140625" style="211" hidden="1" customWidth="1"/>
    <col min="11" max="11" width="2.42578125" style="211" hidden="1" customWidth="1"/>
    <col min="12" max="12" width="11.5703125" style="211" hidden="1" customWidth="1"/>
    <col min="13" max="13" width="12.140625" style="211" hidden="1" customWidth="1"/>
    <col min="14" max="14" width="6.140625" style="211" hidden="1" customWidth="1"/>
    <col min="15" max="15" width="2.42578125" style="211" hidden="1" customWidth="1"/>
    <col min="16" max="16" width="11.5703125" style="211" hidden="1" customWidth="1"/>
    <col min="17" max="17" width="12.140625" style="211" hidden="1" customWidth="1"/>
    <col min="18" max="18" width="6.140625" style="211" hidden="1" customWidth="1"/>
    <col min="19" max="19" width="2.42578125" style="211" hidden="1" customWidth="1"/>
    <col min="20" max="20" width="11.5703125" style="161" hidden="1" customWidth="1"/>
    <col min="21" max="21" width="12.140625" style="161" hidden="1" customWidth="1"/>
    <col min="22" max="22" width="6.140625" style="161" hidden="1" customWidth="1"/>
    <col min="23" max="23" width="2.42578125" style="161" hidden="1" customWidth="1"/>
    <col min="24" max="24" width="11.5703125" style="161" hidden="1" customWidth="1"/>
    <col min="25" max="25" width="12.28515625" style="161" hidden="1" customWidth="1"/>
    <col min="26" max="26" width="9.28515625" style="161" hidden="1" customWidth="1"/>
    <col min="27" max="27" width="2.42578125" style="161" hidden="1" customWidth="1"/>
    <col min="28" max="28" width="11.5703125" style="161" customWidth="1"/>
    <col min="29" max="29" width="12.28515625" style="161" bestFit="1" customWidth="1"/>
    <col min="30" max="30" width="9.28515625" style="161" bestFit="1" customWidth="1"/>
    <col min="31" max="31" width="2.42578125" style="211" customWidth="1"/>
    <col min="32" max="32" width="12.140625" style="211" hidden="1" customWidth="1"/>
    <col min="33" max="33" width="12.140625" style="211" bestFit="1" customWidth="1"/>
    <col min="34" max="34" width="11.5703125" style="211" customWidth="1"/>
    <col min="35" max="35" width="9.28515625" style="211" bestFit="1" customWidth="1"/>
    <col min="36" max="36" width="1.85546875" style="161" customWidth="1"/>
    <col min="37" max="37" width="11.5703125" style="394" customWidth="1"/>
    <col min="38" max="38" width="12.28515625" style="394" bestFit="1" customWidth="1"/>
    <col min="39" max="39" width="9.28515625" style="394" bestFit="1" customWidth="1"/>
    <col min="40" max="40" width="2.42578125" style="394" customWidth="1"/>
    <col min="41" max="41" width="12.42578125" style="104" customWidth="1"/>
    <col min="42" max="42" width="11.28515625" style="104" bestFit="1" customWidth="1"/>
    <col min="43" max="43" width="12" style="161" customWidth="1"/>
    <col min="44" max="44" width="19.85546875" style="161" customWidth="1"/>
    <col min="45" max="45" width="13.28515625" style="161" customWidth="1"/>
    <col min="46" max="46" width="9.140625" style="161"/>
    <col min="47" max="47" width="10.5703125" style="161" bestFit="1" customWidth="1"/>
    <col min="48" max="16384" width="9.140625" style="161"/>
  </cols>
  <sheetData>
    <row r="1" spans="1:44" s="211" customFormat="1" x14ac:dyDescent="0.25">
      <c r="AK1" s="394"/>
      <c r="AL1" s="394"/>
      <c r="AM1" s="394"/>
      <c r="AN1" s="394"/>
      <c r="AO1" s="212"/>
      <c r="AP1" s="212"/>
    </row>
    <row r="3" spans="1:4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9"/>
      <c r="AO3" s="805" t="s">
        <v>1593</v>
      </c>
      <c r="AP3" s="805"/>
      <c r="AQ3" s="805"/>
      <c r="AR3" s="805"/>
    </row>
    <row r="4" spans="1:44" ht="27" x14ac:dyDescent="0.25">
      <c r="A4" s="271"/>
      <c r="B4" s="271"/>
      <c r="C4" s="308" t="s">
        <v>1989</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7"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03"/>
      <c r="AP5" s="103"/>
      <c r="AQ5" s="153"/>
      <c r="AR5" s="111"/>
    </row>
    <row r="6" spans="1:44" ht="14.25" x14ac:dyDescent="0.3">
      <c r="A6" s="161" t="s">
        <v>785</v>
      </c>
      <c r="B6" s="119" t="str">
        <f t="shared" ref="B6:B13" si="0">MID(A6,14,4)</f>
        <v>5155</v>
      </c>
      <c r="C6" s="161" t="s">
        <v>1886</v>
      </c>
      <c r="D6" s="245">
        <v>21868</v>
      </c>
      <c r="E6" s="245">
        <v>22945.27</v>
      </c>
      <c r="F6" s="216"/>
      <c r="G6" s="213"/>
      <c r="H6" s="245">
        <v>25943</v>
      </c>
      <c r="I6" s="245">
        <v>24446.11</v>
      </c>
      <c r="J6" s="216"/>
      <c r="K6" s="213"/>
      <c r="L6" s="245">
        <v>28778.400000000001</v>
      </c>
      <c r="M6" s="245">
        <v>26166.080000000002</v>
      </c>
      <c r="N6" s="216"/>
      <c r="O6" s="213"/>
      <c r="P6" s="245">
        <v>29467.200000000001</v>
      </c>
      <c r="Q6" s="245">
        <v>16242.04</v>
      </c>
      <c r="R6" s="216"/>
      <c r="S6" s="213"/>
      <c r="T6" s="162">
        <v>30268.5</v>
      </c>
      <c r="U6" s="162">
        <v>26292.35</v>
      </c>
      <c r="V6" s="80"/>
      <c r="W6" s="103"/>
      <c r="X6" s="162">
        <v>30298.799999999999</v>
      </c>
      <c r="Y6" s="162">
        <v>29324.93</v>
      </c>
      <c r="Z6" s="80">
        <v>1.0010406858615153E-3</v>
      </c>
      <c r="AA6" s="103"/>
      <c r="AB6" s="162">
        <v>30601.200000000001</v>
      </c>
      <c r="AC6" s="162">
        <v>28643.11</v>
      </c>
      <c r="AD6" s="80">
        <f>(AB6-X6)/X6</f>
        <v>9.9805932908234481E-3</v>
      </c>
      <c r="AE6" s="213"/>
      <c r="AF6" s="245">
        <v>30907</v>
      </c>
      <c r="AG6" s="372">
        <v>32978.400000000001</v>
      </c>
      <c r="AH6" s="245">
        <v>30366.13</v>
      </c>
      <c r="AI6" s="216">
        <f>(AG6-AB6)/AB6</f>
        <v>7.7683228108701638E-2</v>
      </c>
      <c r="AJ6" s="80"/>
      <c r="AK6" s="398">
        <v>33608.400000000001</v>
      </c>
      <c r="AL6" s="398">
        <v>19804.96</v>
      </c>
      <c r="AM6" s="396">
        <f t="shared" ref="AM6:AM12" si="1">(AK6-AG6)/AG6</f>
        <v>1.9103413143148243E-2</v>
      </c>
      <c r="AN6" s="397"/>
      <c r="AO6" s="163">
        <f>'FY20 Payroll Schedule'!J115</f>
        <v>34347.599999999999</v>
      </c>
      <c r="AP6" s="138">
        <f>AO6-AK6</f>
        <v>739.19999999999709</v>
      </c>
      <c r="AQ6" s="396">
        <f>AP6/AK6</f>
        <v>2.1994501374656247E-2</v>
      </c>
      <c r="AR6" s="167"/>
    </row>
    <row r="7" spans="1:44" s="211" customFormat="1" ht="14.25" hidden="1" x14ac:dyDescent="0.3">
      <c r="A7" s="214" t="s">
        <v>1384</v>
      </c>
      <c r="B7" s="214" t="str">
        <f>MID(A7,14,4)</f>
        <v>5108</v>
      </c>
      <c r="C7" s="211" t="s">
        <v>1721</v>
      </c>
      <c r="D7" s="245">
        <v>0</v>
      </c>
      <c r="E7" s="245">
        <v>0</v>
      </c>
      <c r="F7" s="216"/>
      <c r="G7" s="213"/>
      <c r="H7" s="245">
        <v>0</v>
      </c>
      <c r="I7" s="245">
        <v>0</v>
      </c>
      <c r="J7" s="216"/>
      <c r="K7" s="213"/>
      <c r="L7" s="245">
        <v>0</v>
      </c>
      <c r="M7" s="245">
        <v>0</v>
      </c>
      <c r="N7" s="216"/>
      <c r="O7" s="213"/>
      <c r="P7" s="245">
        <v>1000</v>
      </c>
      <c r="Q7" s="245">
        <v>0</v>
      </c>
      <c r="R7" s="216"/>
      <c r="S7" s="213"/>
      <c r="T7" s="245">
        <v>0</v>
      </c>
      <c r="U7" s="245">
        <v>0</v>
      </c>
      <c r="V7" s="216"/>
      <c r="W7" s="213"/>
      <c r="X7" s="245">
        <v>0</v>
      </c>
      <c r="Y7" s="245">
        <v>0</v>
      </c>
      <c r="Z7" s="216" t="e">
        <v>#DIV/0!</v>
      </c>
      <c r="AA7" s="213"/>
      <c r="AB7" s="245">
        <v>0</v>
      </c>
      <c r="AC7" s="245">
        <v>0</v>
      </c>
      <c r="AD7" s="216" t="e">
        <f>(AB7-X7)/X7</f>
        <v>#DIV/0!</v>
      </c>
      <c r="AE7" s="213"/>
      <c r="AF7" s="245"/>
      <c r="AG7" s="372"/>
      <c r="AH7" s="245"/>
      <c r="AI7" s="216"/>
      <c r="AJ7" s="216"/>
      <c r="AK7" s="398">
        <v>0</v>
      </c>
      <c r="AL7" s="398"/>
      <c r="AM7" s="396" t="e">
        <f t="shared" si="1"/>
        <v>#DIV/0!</v>
      </c>
      <c r="AN7" s="397"/>
      <c r="AO7" s="163"/>
      <c r="AP7" s="218">
        <f>AO7-AG7</f>
        <v>0</v>
      </c>
      <c r="AQ7" s="396"/>
      <c r="AR7" s="167"/>
    </row>
    <row r="8" spans="1:44" ht="14.25" x14ac:dyDescent="0.3">
      <c r="A8" s="161" t="s">
        <v>786</v>
      </c>
      <c r="B8" s="119" t="str">
        <f t="shared" si="0"/>
        <v>5183</v>
      </c>
      <c r="C8" s="161" t="s">
        <v>1887</v>
      </c>
      <c r="D8" s="245">
        <v>12563</v>
      </c>
      <c r="E8" s="245">
        <v>12604.5</v>
      </c>
      <c r="F8" s="216"/>
      <c r="G8" s="213"/>
      <c r="H8" s="245">
        <v>14274</v>
      </c>
      <c r="I8" s="245">
        <v>12532.51</v>
      </c>
      <c r="J8" s="216"/>
      <c r="K8" s="213"/>
      <c r="L8" s="245">
        <v>13141.9</v>
      </c>
      <c r="M8" s="245">
        <v>11466.6</v>
      </c>
      <c r="N8" s="216"/>
      <c r="O8" s="213"/>
      <c r="P8" s="245">
        <v>13354</v>
      </c>
      <c r="Q8" s="245">
        <v>15590.04</v>
      </c>
      <c r="R8" s="216"/>
      <c r="S8" s="213"/>
      <c r="T8" s="245">
        <v>13283.2</v>
      </c>
      <c r="U8" s="245">
        <v>8624.1299999999992</v>
      </c>
      <c r="V8" s="216"/>
      <c r="W8" s="213"/>
      <c r="X8" s="245">
        <v>13750.03</v>
      </c>
      <c r="Y8" s="245">
        <v>11748.94</v>
      </c>
      <c r="Z8" s="216">
        <v>3.5144392917369302E-2</v>
      </c>
      <c r="AA8" s="213"/>
      <c r="AB8" s="245">
        <v>13750.03</v>
      </c>
      <c r="AC8" s="245">
        <v>12754.19</v>
      </c>
      <c r="AD8" s="216">
        <f t="shared" ref="AD8:AD13" si="2">(AB8-X8)/X8</f>
        <v>0</v>
      </c>
      <c r="AE8" s="213"/>
      <c r="AF8" s="245">
        <v>13722</v>
      </c>
      <c r="AG8" s="372">
        <v>13722</v>
      </c>
      <c r="AH8" s="245">
        <v>13102.07</v>
      </c>
      <c r="AI8" s="216">
        <f>(AG8-AB8)/AB8</f>
        <v>-2.038541006819669E-3</v>
      </c>
      <c r="AJ8" s="80"/>
      <c r="AK8" s="398">
        <v>13899</v>
      </c>
      <c r="AL8" s="398">
        <v>10125.799999999999</v>
      </c>
      <c r="AM8" s="396">
        <f t="shared" si="1"/>
        <v>1.289899431569742E-2</v>
      </c>
      <c r="AN8" s="397"/>
      <c r="AO8" s="408">
        <f>'FY20 Payroll Schedule'!J116</f>
        <v>14322.72</v>
      </c>
      <c r="AP8" s="398">
        <f t="shared" ref="AP8:AP47" si="3">AO8-AK8</f>
        <v>423.71999999999935</v>
      </c>
      <c r="AQ8" s="396">
        <f t="shared" ref="AQ8:AQ47" si="4">AP8/AK8</f>
        <v>3.0485646449384802E-2</v>
      </c>
      <c r="AR8" s="167"/>
    </row>
    <row r="9" spans="1:44" s="213" customFormat="1" x14ac:dyDescent="0.25">
      <c r="A9" s="211" t="s">
        <v>787</v>
      </c>
      <c r="B9" s="211" t="str">
        <f t="shared" si="0"/>
        <v>5156</v>
      </c>
      <c r="C9" s="211" t="s">
        <v>1888</v>
      </c>
      <c r="D9" s="245">
        <v>132915.43</v>
      </c>
      <c r="E9" s="245">
        <v>119237.67</v>
      </c>
      <c r="F9" s="216"/>
      <c r="H9" s="245">
        <v>116584</v>
      </c>
      <c r="I9" s="245">
        <v>115402.65</v>
      </c>
      <c r="J9" s="216"/>
      <c r="L9" s="245">
        <v>123147.42</v>
      </c>
      <c r="M9" s="245">
        <v>95053.52</v>
      </c>
      <c r="N9" s="216"/>
      <c r="P9" s="245">
        <v>117014.62</v>
      </c>
      <c r="Q9" s="245">
        <v>106413.89</v>
      </c>
      <c r="R9" s="216"/>
      <c r="T9" s="245">
        <v>114413.98</v>
      </c>
      <c r="U9" s="245">
        <v>105689.98</v>
      </c>
      <c r="V9" s="216"/>
      <c r="X9" s="245">
        <v>101113.35</v>
      </c>
      <c r="Y9" s="245">
        <v>125398.99</v>
      </c>
      <c r="Z9" s="216">
        <v>-0.11625004217141988</v>
      </c>
      <c r="AB9" s="245">
        <v>123471</v>
      </c>
      <c r="AC9" s="245">
        <v>114025.96</v>
      </c>
      <c r="AD9" s="216">
        <f t="shared" si="2"/>
        <v>0.22111471927297427</v>
      </c>
      <c r="AF9" s="245">
        <v>114714</v>
      </c>
      <c r="AG9" s="372">
        <v>114714</v>
      </c>
      <c r="AH9" s="245">
        <v>119384.17</v>
      </c>
      <c r="AI9" s="216">
        <f>(AG9-AB9)/AB9</f>
        <v>-7.0923536700925729E-2</v>
      </c>
      <c r="AJ9" s="216"/>
      <c r="AK9" s="398">
        <v>117007</v>
      </c>
      <c r="AL9" s="398">
        <v>99273.04</v>
      </c>
      <c r="AM9" s="396">
        <f t="shared" si="1"/>
        <v>1.9988841815297174E-2</v>
      </c>
      <c r="AN9" s="397"/>
      <c r="AO9" s="408">
        <f>'FY20 Payroll Schedule'!J117</f>
        <v>125730.29</v>
      </c>
      <c r="AP9" s="398">
        <f t="shared" si="3"/>
        <v>8723.2899999999936</v>
      </c>
      <c r="AQ9" s="396">
        <f t="shared" si="4"/>
        <v>7.4553573717811697E-2</v>
      </c>
      <c r="AR9" s="288"/>
    </row>
    <row r="10" spans="1:44" ht="14.25" x14ac:dyDescent="0.3">
      <c r="A10" s="161" t="s">
        <v>788</v>
      </c>
      <c r="B10" s="119" t="str">
        <f t="shared" si="0"/>
        <v>5157</v>
      </c>
      <c r="C10" s="161" t="s">
        <v>1889</v>
      </c>
      <c r="D10" s="245">
        <v>10911</v>
      </c>
      <c r="E10" s="245">
        <v>10511.1</v>
      </c>
      <c r="F10" s="216"/>
      <c r="G10" s="213"/>
      <c r="H10" s="245">
        <v>12800</v>
      </c>
      <c r="I10" s="245">
        <v>9584.42</v>
      </c>
      <c r="J10" s="216"/>
      <c r="K10" s="213"/>
      <c r="L10" s="245">
        <v>11626.82</v>
      </c>
      <c r="M10" s="245">
        <v>10027.370000000001</v>
      </c>
      <c r="N10" s="216"/>
      <c r="O10" s="213"/>
      <c r="P10" s="245">
        <v>11393.17</v>
      </c>
      <c r="Q10" s="245">
        <v>8475.1299999999992</v>
      </c>
      <c r="R10" s="216"/>
      <c r="S10" s="213"/>
      <c r="T10" s="245">
        <v>11099.43</v>
      </c>
      <c r="U10" s="245">
        <v>9045.07</v>
      </c>
      <c r="V10" s="216"/>
      <c r="W10" s="213"/>
      <c r="X10" s="245">
        <v>12680.85</v>
      </c>
      <c r="Y10" s="245">
        <v>11103.45</v>
      </c>
      <c r="Z10" s="216">
        <v>0.14247758668688393</v>
      </c>
      <c r="AA10" s="213"/>
      <c r="AB10" s="245">
        <v>11352.4</v>
      </c>
      <c r="AC10" s="245">
        <v>8549.42</v>
      </c>
      <c r="AD10" s="216">
        <f t="shared" si="2"/>
        <v>-0.10476032758056444</v>
      </c>
      <c r="AE10" s="213"/>
      <c r="AF10" s="245">
        <v>11897.6</v>
      </c>
      <c r="AG10" s="372">
        <v>11879.6</v>
      </c>
      <c r="AH10" s="245">
        <v>8756.4599999999991</v>
      </c>
      <c r="AI10" s="216">
        <f>(AG10-AB10)/AB10</f>
        <v>4.6439519396779601E-2</v>
      </c>
      <c r="AJ10" s="80"/>
      <c r="AK10" s="398">
        <v>11616</v>
      </c>
      <c r="AL10" s="398">
        <v>3502.17</v>
      </c>
      <c r="AM10" s="396">
        <f t="shared" si="1"/>
        <v>-2.2189299303006865E-2</v>
      </c>
      <c r="AN10" s="397"/>
      <c r="AO10" s="408">
        <f>'FY20 Payroll Schedule'!J118</f>
        <v>11873.81</v>
      </c>
      <c r="AP10" s="398">
        <f t="shared" si="3"/>
        <v>257.80999999999949</v>
      </c>
      <c r="AQ10" s="396">
        <f t="shared" si="4"/>
        <v>2.2194387052341554E-2</v>
      </c>
      <c r="AR10" s="167"/>
    </row>
    <row r="11" spans="1:44" ht="14.25" x14ac:dyDescent="0.3">
      <c r="A11" s="161" t="s">
        <v>789</v>
      </c>
      <c r="B11" s="119" t="str">
        <f t="shared" si="0"/>
        <v>5158</v>
      </c>
      <c r="C11" s="161" t="s">
        <v>1890</v>
      </c>
      <c r="D11" s="245">
        <v>14690</v>
      </c>
      <c r="E11" s="245">
        <v>12707.94</v>
      </c>
      <c r="F11" s="216"/>
      <c r="G11" s="213"/>
      <c r="H11" s="245">
        <v>14716</v>
      </c>
      <c r="I11" s="245">
        <v>10071.120000000001</v>
      </c>
      <c r="J11" s="216"/>
      <c r="K11" s="213"/>
      <c r="L11" s="245">
        <v>14789.77</v>
      </c>
      <c r="M11" s="245">
        <v>14955</v>
      </c>
      <c r="N11" s="216"/>
      <c r="O11" s="213"/>
      <c r="P11" s="245">
        <v>13129.05</v>
      </c>
      <c r="Q11" s="245">
        <v>14165.41</v>
      </c>
      <c r="R11" s="216"/>
      <c r="S11" s="213"/>
      <c r="T11" s="245">
        <v>13967.1</v>
      </c>
      <c r="U11" s="245">
        <v>13531.76</v>
      </c>
      <c r="V11" s="216"/>
      <c r="W11" s="213"/>
      <c r="X11" s="245">
        <v>14672.7</v>
      </c>
      <c r="Y11" s="245">
        <v>12193.38</v>
      </c>
      <c r="Z11" s="216">
        <v>5.0518718989625643E-2</v>
      </c>
      <c r="AA11" s="213"/>
      <c r="AB11" s="245">
        <v>13693.39</v>
      </c>
      <c r="AC11" s="245">
        <v>12475.11</v>
      </c>
      <c r="AD11" s="216">
        <f t="shared" si="2"/>
        <v>-6.6743680440546141E-2</v>
      </c>
      <c r="AE11" s="213"/>
      <c r="AF11" s="245">
        <v>9045</v>
      </c>
      <c r="AG11" s="372">
        <v>9045</v>
      </c>
      <c r="AH11" s="245">
        <v>10346.24</v>
      </c>
      <c r="AI11" s="216">
        <f>(AG11-AB11)/AB11</f>
        <v>-0.33946232452299974</v>
      </c>
      <c r="AJ11" s="80"/>
      <c r="AK11" s="398">
        <v>11515.77</v>
      </c>
      <c r="AL11" s="398">
        <v>11836.14</v>
      </c>
      <c r="AM11" s="396">
        <f t="shared" si="1"/>
        <v>0.27316417910447766</v>
      </c>
      <c r="AN11" s="397"/>
      <c r="AO11" s="408">
        <f>'FY20 Payroll Schedule'!J119</f>
        <v>13740.8</v>
      </c>
      <c r="AP11" s="398">
        <f t="shared" si="3"/>
        <v>2225.0299999999988</v>
      </c>
      <c r="AQ11" s="396">
        <f t="shared" si="4"/>
        <v>0.19321591174537167</v>
      </c>
      <c r="AR11" s="167" t="s">
        <v>1437</v>
      </c>
    </row>
    <row r="12" spans="1:44" s="211" customFormat="1" ht="14.25" x14ac:dyDescent="0.3">
      <c r="A12" s="211" t="s">
        <v>790</v>
      </c>
      <c r="B12" s="214" t="str">
        <f>MID(A12,14,4)</f>
        <v>5159</v>
      </c>
      <c r="C12" s="211" t="s">
        <v>1891</v>
      </c>
      <c r="D12" s="245">
        <v>13797</v>
      </c>
      <c r="E12" s="245">
        <v>8531.73</v>
      </c>
      <c r="F12" s="216"/>
      <c r="G12" s="213"/>
      <c r="H12" s="245">
        <v>14043</v>
      </c>
      <c r="I12" s="245">
        <v>8066.14</v>
      </c>
      <c r="J12" s="216"/>
      <c r="K12" s="213"/>
      <c r="L12" s="245">
        <v>12545.43</v>
      </c>
      <c r="M12" s="245">
        <v>9932.14</v>
      </c>
      <c r="N12" s="216"/>
      <c r="O12" s="213"/>
      <c r="P12" s="245">
        <v>14758.48</v>
      </c>
      <c r="Q12" s="245">
        <v>13383.38</v>
      </c>
      <c r="R12" s="216"/>
      <c r="S12" s="213"/>
      <c r="T12" s="245">
        <v>14822.64</v>
      </c>
      <c r="U12" s="245">
        <v>10007.290000000001</v>
      </c>
      <c r="V12" s="216"/>
      <c r="W12" s="213"/>
      <c r="X12" s="245">
        <v>15940.74</v>
      </c>
      <c r="Y12" s="245">
        <v>16734.84</v>
      </c>
      <c r="Z12" s="216">
        <v>7.5431906866792992E-2</v>
      </c>
      <c r="AA12" s="213"/>
      <c r="AB12" s="245">
        <v>10096.219999999999</v>
      </c>
      <c r="AC12" s="245">
        <v>10562.44</v>
      </c>
      <c r="AD12" s="216">
        <f>(AB12-X12)/X12</f>
        <v>-0.36664044454648909</v>
      </c>
      <c r="AE12" s="213"/>
      <c r="AF12" s="245">
        <v>9759.42</v>
      </c>
      <c r="AG12" s="372">
        <v>9932.14</v>
      </c>
      <c r="AH12" s="245">
        <v>5982.64</v>
      </c>
      <c r="AI12" s="216">
        <f>(AG12-AB12)/AB12</f>
        <v>-1.6251626846483132E-2</v>
      </c>
      <c r="AJ12" s="216"/>
      <c r="AK12" s="398">
        <v>9944</v>
      </c>
      <c r="AL12" s="398">
        <v>8919.6</v>
      </c>
      <c r="AM12" s="396">
        <f t="shared" si="1"/>
        <v>1.1941031842080945E-3</v>
      </c>
      <c r="AN12" s="397"/>
      <c r="AO12" s="408">
        <f>'FY20 Payroll Schedule'!J120</f>
        <v>10161.799999999999</v>
      </c>
      <c r="AP12" s="398">
        <f t="shared" si="3"/>
        <v>217.79999999999927</v>
      </c>
      <c r="AQ12" s="396">
        <f t="shared" si="4"/>
        <v>2.1902654867256562E-2</v>
      </c>
      <c r="AR12" s="167"/>
    </row>
    <row r="13" spans="1:44" ht="14.25" hidden="1" x14ac:dyDescent="0.3">
      <c r="A13" s="214" t="s">
        <v>1383</v>
      </c>
      <c r="B13" s="119" t="str">
        <f t="shared" si="0"/>
        <v>5120</v>
      </c>
      <c r="C13" s="161" t="s">
        <v>1752</v>
      </c>
      <c r="D13" s="245">
        <v>0</v>
      </c>
      <c r="E13" s="245">
        <v>0</v>
      </c>
      <c r="F13" s="216"/>
      <c r="G13" s="213"/>
      <c r="H13" s="245">
        <v>0</v>
      </c>
      <c r="I13" s="245">
        <v>27.48</v>
      </c>
      <c r="J13" s="216"/>
      <c r="K13" s="213"/>
      <c r="L13" s="245">
        <v>0</v>
      </c>
      <c r="M13" s="245">
        <v>207.32</v>
      </c>
      <c r="N13" s="216"/>
      <c r="O13" s="213"/>
      <c r="P13" s="245">
        <v>5302.06</v>
      </c>
      <c r="Q13" s="245">
        <v>0</v>
      </c>
      <c r="R13" s="216"/>
      <c r="S13" s="213"/>
      <c r="T13" s="245">
        <v>0</v>
      </c>
      <c r="U13" s="245">
        <v>0</v>
      </c>
      <c r="V13" s="216"/>
      <c r="W13" s="213"/>
      <c r="X13" s="245">
        <v>0</v>
      </c>
      <c r="Y13" s="245">
        <v>0</v>
      </c>
      <c r="Z13" s="216" t="e">
        <v>#DIV/0!</v>
      </c>
      <c r="AA13" s="213"/>
      <c r="AB13" s="245">
        <v>0</v>
      </c>
      <c r="AC13" s="245">
        <v>0</v>
      </c>
      <c r="AD13" s="216" t="e">
        <f t="shared" si="2"/>
        <v>#DIV/0!</v>
      </c>
      <c r="AE13" s="213"/>
      <c r="AF13" s="245"/>
      <c r="AG13" s="372"/>
      <c r="AH13" s="245"/>
      <c r="AI13" s="216"/>
      <c r="AJ13" s="80"/>
      <c r="AK13" s="398">
        <v>0</v>
      </c>
      <c r="AL13" s="398">
        <v>0</v>
      </c>
      <c r="AM13" s="396"/>
      <c r="AN13" s="397"/>
      <c r="AO13" s="113"/>
      <c r="AP13" s="398">
        <f t="shared" si="3"/>
        <v>0</v>
      </c>
      <c r="AQ13" s="396" t="e">
        <f t="shared" si="4"/>
        <v>#DIV/0!</v>
      </c>
      <c r="AR13" s="167"/>
    </row>
    <row r="14" spans="1:44" s="114" customFormat="1" x14ac:dyDescent="0.25">
      <c r="A14" s="224"/>
      <c r="B14" s="224"/>
      <c r="C14" s="224" t="s">
        <v>26</v>
      </c>
      <c r="D14" s="225">
        <f>SUM(D6:D13)</f>
        <v>206744.43</v>
      </c>
      <c r="E14" s="225">
        <f>SUM(E6:E13)</f>
        <v>186538.21000000002</v>
      </c>
      <c r="F14" s="226">
        <v>2.86E-2</v>
      </c>
      <c r="G14" s="224"/>
      <c r="H14" s="225">
        <f>SUM(H6:H13)</f>
        <v>198360</v>
      </c>
      <c r="I14" s="225">
        <f>SUM(I6:I13)</f>
        <v>180130.43000000002</v>
      </c>
      <c r="J14" s="226">
        <v>2.86E-2</v>
      </c>
      <c r="K14" s="224"/>
      <c r="L14" s="225">
        <f>SUM(L6:L13)</f>
        <v>204029.74</v>
      </c>
      <c r="M14" s="225">
        <f>SUM(M6:M13)</f>
        <v>167808.03000000003</v>
      </c>
      <c r="N14" s="226">
        <v>2.86E-2</v>
      </c>
      <c r="O14" s="224"/>
      <c r="P14" s="225">
        <f>SUM(P6:P13)</f>
        <v>205418.58000000002</v>
      </c>
      <c r="Q14" s="225">
        <f>SUM(Q6:Q13)</f>
        <v>174269.89</v>
      </c>
      <c r="R14" s="226">
        <v>2.86E-2</v>
      </c>
      <c r="S14" s="224"/>
      <c r="T14" s="225">
        <f>SUM(T6:T13)</f>
        <v>197854.84999999998</v>
      </c>
      <c r="U14" s="225">
        <f>SUM(U6:U13)</f>
        <v>173190.58000000002</v>
      </c>
      <c r="V14" s="226">
        <v>2.86E-2</v>
      </c>
      <c r="W14" s="224"/>
      <c r="X14" s="225">
        <f>SUM(X6:X13)</f>
        <v>188456.47</v>
      </c>
      <c r="Y14" s="225">
        <f>SUM(Y6:Y13)</f>
        <v>206504.53000000003</v>
      </c>
      <c r="Z14" s="226">
        <f>(X14-T14)/T14</f>
        <v>-4.7501388012474687E-2</v>
      </c>
      <c r="AA14" s="224"/>
      <c r="AB14" s="225">
        <f>SUM(AB6:AB13)</f>
        <v>202964.24000000002</v>
      </c>
      <c r="AC14" s="225">
        <f>SUM(AC6:AC13)</f>
        <v>187010.23000000004</v>
      </c>
      <c r="AD14" s="247">
        <f>(AB14-X14)/X14</f>
        <v>7.698207442811604E-2</v>
      </c>
      <c r="AE14" s="224"/>
      <c r="AF14" s="225">
        <f>SUM(AF6:AF13)</f>
        <v>190045.02000000002</v>
      </c>
      <c r="AG14" s="225">
        <f>SUM(AG6:AG13)</f>
        <v>192271.14</v>
      </c>
      <c r="AH14" s="225">
        <f>SUM(AH6:AH13)</f>
        <v>187937.71</v>
      </c>
      <c r="AI14" s="247">
        <f>(AG14-AB14)/AB14</f>
        <v>-5.2684650261543634E-2</v>
      </c>
      <c r="AJ14" s="226"/>
      <c r="AK14" s="225">
        <f>SUM(AK6:AK13)</f>
        <v>197590.16999999998</v>
      </c>
      <c r="AL14" s="225">
        <f>SUM(AL6:AL13)</f>
        <v>153461.71</v>
      </c>
      <c r="AM14" s="247">
        <f>(AK14-AG14)/AG14</f>
        <v>2.766421419251984E-2</v>
      </c>
      <c r="AN14" s="224"/>
      <c r="AO14" s="227">
        <f>SUM(AO6:AO13)</f>
        <v>210177.01999999996</v>
      </c>
      <c r="AP14" s="225">
        <f>SUM(AP6:AP13)</f>
        <v>12586.849999999988</v>
      </c>
      <c r="AQ14" s="247">
        <f t="shared" si="4"/>
        <v>6.370180257449036E-2</v>
      </c>
      <c r="AR14" s="224"/>
    </row>
    <row r="15" spans="1:44" x14ac:dyDescent="0.25">
      <c r="C15" s="125"/>
      <c r="D15" s="112"/>
      <c r="E15" s="112"/>
      <c r="H15" s="112"/>
      <c r="I15" s="112"/>
      <c r="L15" s="112"/>
      <c r="M15" s="112"/>
      <c r="P15" s="112"/>
      <c r="Q15" s="112"/>
      <c r="T15" s="112"/>
      <c r="U15" s="112"/>
      <c r="X15" s="112"/>
      <c r="Y15" s="112"/>
      <c r="AB15" s="112"/>
      <c r="AC15" s="112"/>
      <c r="AF15" s="112"/>
      <c r="AG15" s="112"/>
      <c r="AH15" s="112"/>
      <c r="AK15" s="112"/>
      <c r="AL15" s="112"/>
      <c r="AP15" s="112"/>
      <c r="AQ15" s="394"/>
    </row>
    <row r="16" spans="1:44" x14ac:dyDescent="0.25">
      <c r="C16" s="111" t="s">
        <v>277</v>
      </c>
      <c r="D16" s="112"/>
      <c r="E16" s="112"/>
      <c r="F16" s="112"/>
      <c r="H16" s="112"/>
      <c r="I16" s="112"/>
      <c r="J16" s="112"/>
      <c r="L16" s="112"/>
      <c r="M16" s="112"/>
      <c r="N16" s="112"/>
      <c r="P16" s="112"/>
      <c r="Q16" s="112"/>
      <c r="R16" s="112"/>
      <c r="T16" s="112"/>
      <c r="U16" s="112"/>
      <c r="V16" s="112"/>
      <c r="X16" s="112"/>
      <c r="Y16" s="112"/>
      <c r="Z16" s="112"/>
      <c r="AB16" s="112"/>
      <c r="AC16" s="112"/>
      <c r="AD16" s="112"/>
      <c r="AF16" s="112"/>
      <c r="AG16" s="112"/>
      <c r="AH16" s="112"/>
      <c r="AI16" s="112"/>
      <c r="AJ16" s="112"/>
      <c r="AK16" s="112"/>
      <c r="AL16" s="112"/>
      <c r="AM16" s="112"/>
      <c r="AP16" s="112"/>
      <c r="AQ16" s="112"/>
      <c r="AR16" s="111"/>
    </row>
    <row r="17" spans="1:44" x14ac:dyDescent="0.25">
      <c r="A17" s="161" t="s">
        <v>791</v>
      </c>
      <c r="B17" s="119" t="str">
        <f t="shared" ref="B17:B44" si="5">MID(A17,14,4)</f>
        <v>5210</v>
      </c>
      <c r="C17" s="161" t="s">
        <v>1626</v>
      </c>
      <c r="D17" s="245">
        <v>200</v>
      </c>
      <c r="E17" s="245">
        <v>318.18</v>
      </c>
      <c r="F17" s="216"/>
      <c r="G17" s="213"/>
      <c r="H17" s="245">
        <v>250</v>
      </c>
      <c r="I17" s="245">
        <v>278.26</v>
      </c>
      <c r="J17" s="216"/>
      <c r="K17" s="213"/>
      <c r="L17" s="245">
        <v>275</v>
      </c>
      <c r="M17" s="245">
        <v>290.27</v>
      </c>
      <c r="N17" s="216"/>
      <c r="O17" s="213"/>
      <c r="P17" s="245">
        <v>300</v>
      </c>
      <c r="Q17" s="245">
        <v>404.85</v>
      </c>
      <c r="R17" s="216"/>
      <c r="S17" s="213"/>
      <c r="T17" s="245">
        <v>350</v>
      </c>
      <c r="U17" s="245">
        <v>252.79</v>
      </c>
      <c r="V17" s="216"/>
      <c r="W17" s="213"/>
      <c r="X17" s="245">
        <v>450</v>
      </c>
      <c r="Y17" s="245">
        <v>278.43</v>
      </c>
      <c r="Z17" s="216">
        <v>0.2857142857142857</v>
      </c>
      <c r="AA17" s="213"/>
      <c r="AB17" s="245">
        <v>400</v>
      </c>
      <c r="AC17" s="245">
        <v>297.97000000000003</v>
      </c>
      <c r="AD17" s="216">
        <f t="shared" ref="AD17:AD44" si="6">(AB17-X17)/X17</f>
        <v>-0.1111111111111111</v>
      </c>
      <c r="AE17" s="213"/>
      <c r="AF17" s="245">
        <v>400</v>
      </c>
      <c r="AG17" s="245">
        <v>400</v>
      </c>
      <c r="AH17" s="245">
        <v>295.23</v>
      </c>
      <c r="AI17" s="216">
        <f t="shared" ref="AI17:AI44" si="7">(AG17-AB17)/AB17</f>
        <v>0</v>
      </c>
      <c r="AJ17" s="80"/>
      <c r="AK17" s="398">
        <v>400</v>
      </c>
      <c r="AL17" s="398">
        <v>209.16</v>
      </c>
      <c r="AM17" s="396">
        <f>(AK17-AG17)/AG17</f>
        <v>0</v>
      </c>
      <c r="AN17" s="397"/>
      <c r="AO17" s="143">
        <v>400</v>
      </c>
      <c r="AP17" s="398">
        <f t="shared" si="3"/>
        <v>0</v>
      </c>
      <c r="AQ17" s="396">
        <f t="shared" si="4"/>
        <v>0</v>
      </c>
      <c r="AR17" s="166"/>
    </row>
    <row r="18" spans="1:44" s="211" customFormat="1" x14ac:dyDescent="0.25">
      <c r="A18" s="211" t="s">
        <v>792</v>
      </c>
      <c r="B18" s="214" t="str">
        <f t="shared" si="5"/>
        <v>5242</v>
      </c>
      <c r="C18" s="211" t="s">
        <v>1487</v>
      </c>
      <c r="D18" s="245">
        <v>4500</v>
      </c>
      <c r="E18" s="245">
        <v>6537.35</v>
      </c>
      <c r="F18" s="216"/>
      <c r="G18" s="213"/>
      <c r="H18" s="245">
        <v>6500</v>
      </c>
      <c r="I18" s="245">
        <v>12679.07</v>
      </c>
      <c r="J18" s="216"/>
      <c r="K18" s="213"/>
      <c r="L18" s="245">
        <v>6500</v>
      </c>
      <c r="M18" s="245">
        <v>9843.2099999999991</v>
      </c>
      <c r="N18" s="216"/>
      <c r="O18" s="213"/>
      <c r="P18" s="245">
        <v>6500</v>
      </c>
      <c r="Q18" s="245">
        <v>11920</v>
      </c>
      <c r="R18" s="216"/>
      <c r="S18" s="213"/>
      <c r="T18" s="245">
        <v>10400</v>
      </c>
      <c r="U18" s="245">
        <v>5569.28</v>
      </c>
      <c r="V18" s="216"/>
      <c r="W18" s="213"/>
      <c r="X18" s="245">
        <v>10400</v>
      </c>
      <c r="Y18" s="245">
        <v>4722.6499999999996</v>
      </c>
      <c r="Z18" s="216">
        <v>0</v>
      </c>
      <c r="AA18" s="213"/>
      <c r="AB18" s="245">
        <v>10000</v>
      </c>
      <c r="AC18" s="245">
        <v>4533.6400000000003</v>
      </c>
      <c r="AD18" s="216">
        <f t="shared" si="6"/>
        <v>-3.8461538461538464E-2</v>
      </c>
      <c r="AE18" s="213"/>
      <c r="AF18" s="245">
        <v>8000</v>
      </c>
      <c r="AG18" s="245">
        <v>8000</v>
      </c>
      <c r="AH18" s="245">
        <v>3224.3</v>
      </c>
      <c r="AI18" s="216">
        <f t="shared" si="7"/>
        <v>-0.2</v>
      </c>
      <c r="AJ18" s="216"/>
      <c r="AK18" s="398">
        <v>6000</v>
      </c>
      <c r="AL18" s="398">
        <v>69</v>
      </c>
      <c r="AM18" s="396">
        <f>(AK18-AG18)/AG18</f>
        <v>-0.25</v>
      </c>
      <c r="AN18" s="397"/>
      <c r="AO18" s="143">
        <v>5000</v>
      </c>
      <c r="AP18" s="398">
        <f t="shared" si="3"/>
        <v>-1000</v>
      </c>
      <c r="AQ18" s="396">
        <f t="shared" si="4"/>
        <v>-0.16666666666666666</v>
      </c>
      <c r="AR18" s="288"/>
    </row>
    <row r="19" spans="1:44" s="211" customFormat="1" x14ac:dyDescent="0.25">
      <c r="A19" s="211" t="s">
        <v>793</v>
      </c>
      <c r="B19" s="214" t="str">
        <f t="shared" si="5"/>
        <v>5245</v>
      </c>
      <c r="C19" s="211" t="s">
        <v>1633</v>
      </c>
      <c r="D19" s="245">
        <v>200</v>
      </c>
      <c r="E19" s="245">
        <v>0</v>
      </c>
      <c r="F19" s="216"/>
      <c r="G19" s="213"/>
      <c r="H19" s="245">
        <v>200</v>
      </c>
      <c r="I19" s="245">
        <v>224.59</v>
      </c>
      <c r="J19" s="216"/>
      <c r="K19" s="213"/>
      <c r="L19" s="245">
        <v>500</v>
      </c>
      <c r="M19" s="245">
        <v>0</v>
      </c>
      <c r="N19" s="216"/>
      <c r="O19" s="213"/>
      <c r="P19" s="245">
        <v>400</v>
      </c>
      <c r="Q19" s="245">
        <v>22.97</v>
      </c>
      <c r="R19" s="216"/>
      <c r="S19" s="213"/>
      <c r="T19" s="245">
        <v>400</v>
      </c>
      <c r="U19" s="245">
        <v>71.7</v>
      </c>
      <c r="V19" s="216"/>
      <c r="W19" s="213"/>
      <c r="X19" s="245">
        <v>450</v>
      </c>
      <c r="Y19" s="245">
        <v>17.899999999999999</v>
      </c>
      <c r="Z19" s="216">
        <v>0.125</v>
      </c>
      <c r="AA19" s="213"/>
      <c r="AB19" s="245">
        <v>1000</v>
      </c>
      <c r="AC19" s="245">
        <v>880</v>
      </c>
      <c r="AD19" s="216">
        <f t="shared" si="6"/>
        <v>1.2222222222222223</v>
      </c>
      <c r="AE19" s="213"/>
      <c r="AF19" s="245">
        <v>1000</v>
      </c>
      <c r="AG19" s="245">
        <v>1000</v>
      </c>
      <c r="AH19" s="245">
        <v>425.64</v>
      </c>
      <c r="AI19" s="216">
        <f t="shared" si="7"/>
        <v>0</v>
      </c>
      <c r="AJ19" s="216"/>
      <c r="AK19" s="398">
        <v>900</v>
      </c>
      <c r="AL19" s="398">
        <v>0</v>
      </c>
      <c r="AM19" s="396">
        <f>(AK19-AG19)/AG19</f>
        <v>-0.1</v>
      </c>
      <c r="AN19" s="397"/>
      <c r="AO19" s="143">
        <v>900</v>
      </c>
      <c r="AP19" s="398">
        <f t="shared" si="3"/>
        <v>0</v>
      </c>
      <c r="AQ19" s="396">
        <f t="shared" si="4"/>
        <v>0</v>
      </c>
      <c r="AR19" s="288"/>
    </row>
    <row r="20" spans="1:44" s="211" customFormat="1" x14ac:dyDescent="0.25">
      <c r="A20" s="211" t="s">
        <v>794</v>
      </c>
      <c r="B20" s="214" t="str">
        <f t="shared" si="5"/>
        <v>5247</v>
      </c>
      <c r="C20" s="211" t="s">
        <v>1635</v>
      </c>
      <c r="D20" s="245">
        <v>500</v>
      </c>
      <c r="E20" s="245">
        <v>170</v>
      </c>
      <c r="F20" s="216"/>
      <c r="G20" s="213"/>
      <c r="H20" s="245">
        <v>500</v>
      </c>
      <c r="I20" s="245">
        <v>213.75</v>
      </c>
      <c r="J20" s="216"/>
      <c r="K20" s="213"/>
      <c r="L20" s="245">
        <v>250</v>
      </c>
      <c r="M20" s="245">
        <v>463.75</v>
      </c>
      <c r="N20" s="216"/>
      <c r="O20" s="213"/>
      <c r="P20" s="245">
        <v>250</v>
      </c>
      <c r="Q20" s="245">
        <v>460.41</v>
      </c>
      <c r="R20" s="216"/>
      <c r="S20" s="213"/>
      <c r="T20" s="245">
        <v>1000</v>
      </c>
      <c r="U20" s="245">
        <v>94</v>
      </c>
      <c r="V20" s="216"/>
      <c r="W20" s="213"/>
      <c r="X20" s="245">
        <v>1000</v>
      </c>
      <c r="Y20" s="245">
        <v>0</v>
      </c>
      <c r="Z20" s="216">
        <v>0</v>
      </c>
      <c r="AA20" s="213"/>
      <c r="AB20" s="245">
        <v>1000</v>
      </c>
      <c r="AC20" s="245">
        <v>0</v>
      </c>
      <c r="AD20" s="216">
        <f t="shared" si="6"/>
        <v>0</v>
      </c>
      <c r="AE20" s="213"/>
      <c r="AF20" s="245">
        <v>1000</v>
      </c>
      <c r="AG20" s="245">
        <v>1000</v>
      </c>
      <c r="AH20" s="245">
        <v>0</v>
      </c>
      <c r="AI20" s="216">
        <f t="shared" si="7"/>
        <v>0</v>
      </c>
      <c r="AJ20" s="216"/>
      <c r="AK20" s="398">
        <v>1000</v>
      </c>
      <c r="AL20" s="398">
        <v>0</v>
      </c>
      <c r="AM20" s="396">
        <f>(AK20-AG20)/AG20</f>
        <v>0</v>
      </c>
      <c r="AN20" s="397"/>
      <c r="AO20" s="143">
        <v>1000</v>
      </c>
      <c r="AP20" s="398">
        <f t="shared" si="3"/>
        <v>0</v>
      </c>
      <c r="AQ20" s="396">
        <f t="shared" si="4"/>
        <v>0</v>
      </c>
      <c r="AR20" s="288"/>
    </row>
    <row r="21" spans="1:44" s="394" customFormat="1" hidden="1" x14ac:dyDescent="0.25">
      <c r="A21" s="395" t="s">
        <v>1501</v>
      </c>
      <c r="B21" s="395" t="str">
        <f>MID(A21,14,4)</f>
        <v>5249</v>
      </c>
      <c r="C21" s="394" t="s">
        <v>1502</v>
      </c>
      <c r="D21" s="398"/>
      <c r="E21" s="398"/>
      <c r="F21" s="396"/>
      <c r="G21" s="397"/>
      <c r="H21" s="398"/>
      <c r="I21" s="398"/>
      <c r="J21" s="396"/>
      <c r="K21" s="397"/>
      <c r="L21" s="398"/>
      <c r="M21" s="398"/>
      <c r="N21" s="396"/>
      <c r="O21" s="397"/>
      <c r="P21" s="398"/>
      <c r="Q21" s="398"/>
      <c r="R21" s="396"/>
      <c r="S21" s="397"/>
      <c r="T21" s="398"/>
      <c r="U21" s="398"/>
      <c r="V21" s="396"/>
      <c r="W21" s="397"/>
      <c r="X21" s="398"/>
      <c r="Y21" s="398"/>
      <c r="Z21" s="396"/>
      <c r="AA21" s="397"/>
      <c r="AB21" s="398"/>
      <c r="AC21" s="398"/>
      <c r="AD21" s="396"/>
      <c r="AE21" s="397"/>
      <c r="AF21" s="398"/>
      <c r="AG21" s="398"/>
      <c r="AH21" s="398">
        <v>150</v>
      </c>
      <c r="AI21" s="396"/>
      <c r="AJ21" s="396"/>
      <c r="AK21" s="398"/>
      <c r="AL21" s="398"/>
      <c r="AM21" s="396"/>
      <c r="AN21" s="397"/>
      <c r="AO21" s="143"/>
      <c r="AP21" s="398">
        <f t="shared" si="3"/>
        <v>0</v>
      </c>
      <c r="AQ21" s="396" t="e">
        <f t="shared" si="4"/>
        <v>#DIV/0!</v>
      </c>
      <c r="AR21" s="400"/>
    </row>
    <row r="22" spans="1:44" s="211" customFormat="1" x14ac:dyDescent="0.25">
      <c r="A22" s="211" t="s">
        <v>795</v>
      </c>
      <c r="B22" s="214" t="str">
        <f t="shared" si="5"/>
        <v>5251</v>
      </c>
      <c r="C22" s="211" t="s">
        <v>1682</v>
      </c>
      <c r="D22" s="245">
        <v>600</v>
      </c>
      <c r="E22" s="245">
        <v>124</v>
      </c>
      <c r="F22" s="216"/>
      <c r="G22" s="213"/>
      <c r="H22" s="245">
        <v>600</v>
      </c>
      <c r="I22" s="245">
        <v>417.38</v>
      </c>
      <c r="J22" s="216"/>
      <c r="K22" s="213"/>
      <c r="L22" s="245">
        <v>600</v>
      </c>
      <c r="M22" s="245">
        <v>518.75</v>
      </c>
      <c r="N22" s="216"/>
      <c r="O22" s="213"/>
      <c r="P22" s="245">
        <v>600</v>
      </c>
      <c r="Q22" s="245">
        <v>342.02</v>
      </c>
      <c r="R22" s="216"/>
      <c r="S22" s="213"/>
      <c r="T22" s="245">
        <v>600</v>
      </c>
      <c r="U22" s="245">
        <v>0</v>
      </c>
      <c r="V22" s="216"/>
      <c r="W22" s="213"/>
      <c r="X22" s="245">
        <v>600</v>
      </c>
      <c r="Y22" s="245">
        <v>0</v>
      </c>
      <c r="Z22" s="216">
        <v>0</v>
      </c>
      <c r="AA22" s="213"/>
      <c r="AB22" s="245">
        <v>0</v>
      </c>
      <c r="AC22" s="245">
        <v>668</v>
      </c>
      <c r="AD22" s="216">
        <f t="shared" si="6"/>
        <v>-1</v>
      </c>
      <c r="AE22" s="213"/>
      <c r="AF22" s="398">
        <v>0</v>
      </c>
      <c r="AG22" s="245"/>
      <c r="AH22" s="245">
        <v>1078.25</v>
      </c>
      <c r="AI22" s="216"/>
      <c r="AJ22" s="216"/>
      <c r="AK22" s="398">
        <v>600</v>
      </c>
      <c r="AL22" s="398"/>
      <c r="AM22" s="396" t="e">
        <f t="shared" ref="AM22:AM44" si="8">(AK22-AG22)/AG22</f>
        <v>#DIV/0!</v>
      </c>
      <c r="AN22" s="397"/>
      <c r="AO22" s="143">
        <v>600</v>
      </c>
      <c r="AP22" s="398">
        <f t="shared" si="3"/>
        <v>0</v>
      </c>
      <c r="AQ22" s="396">
        <f t="shared" si="4"/>
        <v>0</v>
      </c>
      <c r="AR22" s="288"/>
    </row>
    <row r="23" spans="1:44" s="211" customFormat="1" x14ac:dyDescent="0.25">
      <c r="A23" s="211" t="s">
        <v>796</v>
      </c>
      <c r="B23" s="214" t="str">
        <f t="shared" si="5"/>
        <v>5293</v>
      </c>
      <c r="C23" s="211" t="s">
        <v>1497</v>
      </c>
      <c r="D23" s="245">
        <v>3000</v>
      </c>
      <c r="E23" s="245">
        <v>1659.65</v>
      </c>
      <c r="F23" s="216"/>
      <c r="G23" s="213"/>
      <c r="H23" s="245">
        <v>3000</v>
      </c>
      <c r="I23" s="245">
        <v>1915.71</v>
      </c>
      <c r="J23" s="216"/>
      <c r="K23" s="213"/>
      <c r="L23" s="245">
        <v>3000</v>
      </c>
      <c r="M23" s="245">
        <v>1431.35</v>
      </c>
      <c r="N23" s="216"/>
      <c r="O23" s="213"/>
      <c r="P23" s="245">
        <v>3000</v>
      </c>
      <c r="Q23" s="245">
        <v>1616.38</v>
      </c>
      <c r="R23" s="216"/>
      <c r="S23" s="213"/>
      <c r="T23" s="245">
        <v>1500</v>
      </c>
      <c r="U23" s="245">
        <v>1562.88</v>
      </c>
      <c r="V23" s="216"/>
      <c r="W23" s="213"/>
      <c r="X23" s="245">
        <v>1500</v>
      </c>
      <c r="Y23" s="245">
        <v>2591.38</v>
      </c>
      <c r="Z23" s="216">
        <v>0</v>
      </c>
      <c r="AA23" s="213"/>
      <c r="AB23" s="245">
        <v>2200</v>
      </c>
      <c r="AC23" s="245">
        <v>2496.5</v>
      </c>
      <c r="AD23" s="216">
        <f t="shared" si="6"/>
        <v>0.46666666666666667</v>
      </c>
      <c r="AE23" s="213"/>
      <c r="AF23" s="245">
        <v>2500</v>
      </c>
      <c r="AG23" s="245">
        <v>2500</v>
      </c>
      <c r="AH23" s="245">
        <v>2362.6999999999998</v>
      </c>
      <c r="AI23" s="216">
        <f t="shared" si="7"/>
        <v>0.13636363636363635</v>
      </c>
      <c r="AJ23" s="216"/>
      <c r="AK23" s="398">
        <v>2500</v>
      </c>
      <c r="AL23" s="398">
        <v>3652.9</v>
      </c>
      <c r="AM23" s="396">
        <f t="shared" si="8"/>
        <v>0</v>
      </c>
      <c r="AN23" s="397"/>
      <c r="AO23" s="143">
        <v>3600</v>
      </c>
      <c r="AP23" s="398">
        <f t="shared" si="3"/>
        <v>1100</v>
      </c>
      <c r="AQ23" s="396">
        <f t="shared" si="4"/>
        <v>0.44</v>
      </c>
      <c r="AR23" s="288"/>
    </row>
    <row r="24" spans="1:44" s="211" customFormat="1" x14ac:dyDescent="0.25">
      <c r="A24" s="211" t="s">
        <v>797</v>
      </c>
      <c r="B24" s="214" t="str">
        <f t="shared" si="5"/>
        <v>5296</v>
      </c>
      <c r="C24" s="211" t="s">
        <v>1782</v>
      </c>
      <c r="D24" s="245">
        <v>4000</v>
      </c>
      <c r="E24" s="245">
        <v>5388.99</v>
      </c>
      <c r="F24" s="216"/>
      <c r="G24" s="213"/>
      <c r="H24" s="245">
        <v>5000</v>
      </c>
      <c r="I24" s="245">
        <v>4684.76</v>
      </c>
      <c r="J24" s="216"/>
      <c r="K24" s="213"/>
      <c r="L24" s="245">
        <v>5500</v>
      </c>
      <c r="M24" s="245">
        <v>5245.11</v>
      </c>
      <c r="N24" s="216"/>
      <c r="O24" s="213"/>
      <c r="P24" s="245">
        <v>8000</v>
      </c>
      <c r="Q24" s="245">
        <v>4982.5</v>
      </c>
      <c r="R24" s="216"/>
      <c r="S24" s="213"/>
      <c r="T24" s="245">
        <v>7500</v>
      </c>
      <c r="U24" s="245">
        <v>4795</v>
      </c>
      <c r="V24" s="216"/>
      <c r="W24" s="213"/>
      <c r="X24" s="245">
        <v>7500</v>
      </c>
      <c r="Y24" s="245">
        <v>6450</v>
      </c>
      <c r="Z24" s="216">
        <v>0</v>
      </c>
      <c r="AA24" s="213"/>
      <c r="AB24" s="245">
        <v>7500</v>
      </c>
      <c r="AC24" s="245">
        <v>5805.9</v>
      </c>
      <c r="AD24" s="216">
        <f t="shared" si="6"/>
        <v>0</v>
      </c>
      <c r="AE24" s="213"/>
      <c r="AF24" s="245">
        <v>7500</v>
      </c>
      <c r="AG24" s="245">
        <v>7500</v>
      </c>
      <c r="AH24" s="245">
        <v>6495</v>
      </c>
      <c r="AI24" s="216">
        <f t="shared" si="7"/>
        <v>0</v>
      </c>
      <c r="AJ24" s="216"/>
      <c r="AK24" s="398">
        <v>7500</v>
      </c>
      <c r="AL24" s="398">
        <v>0</v>
      </c>
      <c r="AM24" s="396">
        <f t="shared" si="8"/>
        <v>0</v>
      </c>
      <c r="AN24" s="397"/>
      <c r="AO24" s="143">
        <v>7500</v>
      </c>
      <c r="AP24" s="398">
        <f t="shared" si="3"/>
        <v>0</v>
      </c>
      <c r="AQ24" s="396">
        <f t="shared" si="4"/>
        <v>0</v>
      </c>
      <c r="AR24" s="288"/>
    </row>
    <row r="25" spans="1:44" s="211" customFormat="1" x14ac:dyDescent="0.25">
      <c r="A25" s="211" t="s">
        <v>798</v>
      </c>
      <c r="B25" s="214" t="str">
        <f t="shared" si="5"/>
        <v>5303</v>
      </c>
      <c r="C25" s="211" t="s">
        <v>1495</v>
      </c>
      <c r="D25" s="245">
        <v>800</v>
      </c>
      <c r="E25" s="245">
        <v>180</v>
      </c>
      <c r="F25" s="216"/>
      <c r="G25" s="213"/>
      <c r="H25" s="245">
        <v>500</v>
      </c>
      <c r="I25" s="245">
        <v>0</v>
      </c>
      <c r="J25" s="216"/>
      <c r="K25" s="213"/>
      <c r="L25" s="245">
        <v>500</v>
      </c>
      <c r="M25" s="245">
        <v>185</v>
      </c>
      <c r="N25" s="216"/>
      <c r="O25" s="213"/>
      <c r="P25" s="245">
        <v>500</v>
      </c>
      <c r="Q25" s="245">
        <v>240</v>
      </c>
      <c r="R25" s="216"/>
      <c r="S25" s="213"/>
      <c r="T25" s="245">
        <v>500</v>
      </c>
      <c r="U25" s="245">
        <v>425</v>
      </c>
      <c r="V25" s="216"/>
      <c r="W25" s="213"/>
      <c r="X25" s="245">
        <v>500</v>
      </c>
      <c r="Y25" s="245">
        <v>0</v>
      </c>
      <c r="Z25" s="216">
        <v>0</v>
      </c>
      <c r="AA25" s="213"/>
      <c r="AB25" s="245">
        <v>400</v>
      </c>
      <c r="AC25" s="245">
        <v>0</v>
      </c>
      <c r="AD25" s="216">
        <f t="shared" si="6"/>
        <v>-0.2</v>
      </c>
      <c r="AE25" s="213"/>
      <c r="AF25" s="245">
        <v>400</v>
      </c>
      <c r="AG25" s="245">
        <v>400</v>
      </c>
      <c r="AH25" s="245">
        <v>387</v>
      </c>
      <c r="AI25" s="216">
        <f t="shared" si="7"/>
        <v>0</v>
      </c>
      <c r="AJ25" s="216"/>
      <c r="AK25" s="398">
        <v>400</v>
      </c>
      <c r="AL25" s="398">
        <v>0</v>
      </c>
      <c r="AM25" s="396">
        <f t="shared" si="8"/>
        <v>0</v>
      </c>
      <c r="AN25" s="397"/>
      <c r="AO25" s="143">
        <v>400</v>
      </c>
      <c r="AP25" s="398">
        <f t="shared" si="3"/>
        <v>0</v>
      </c>
      <c r="AQ25" s="396">
        <f t="shared" si="4"/>
        <v>0</v>
      </c>
      <c r="AR25" s="288"/>
    </row>
    <row r="26" spans="1:44" s="211" customFormat="1" x14ac:dyDescent="0.25">
      <c r="A26" s="211" t="s">
        <v>799</v>
      </c>
      <c r="B26" s="214" t="str">
        <f t="shared" si="5"/>
        <v>5306</v>
      </c>
      <c r="C26" s="211" t="s">
        <v>1599</v>
      </c>
      <c r="D26" s="245">
        <v>200</v>
      </c>
      <c r="E26" s="245">
        <v>0</v>
      </c>
      <c r="F26" s="216"/>
      <c r="G26" s="213"/>
      <c r="H26" s="245">
        <v>200</v>
      </c>
      <c r="I26" s="245">
        <v>0</v>
      </c>
      <c r="J26" s="216"/>
      <c r="K26" s="213"/>
      <c r="L26" s="245">
        <v>100</v>
      </c>
      <c r="M26" s="245">
        <v>312</v>
      </c>
      <c r="N26" s="216"/>
      <c r="O26" s="213"/>
      <c r="P26" s="245">
        <v>100</v>
      </c>
      <c r="Q26" s="245">
        <v>0</v>
      </c>
      <c r="R26" s="216"/>
      <c r="S26" s="213"/>
      <c r="T26" s="245">
        <v>100</v>
      </c>
      <c r="U26" s="245">
        <v>0</v>
      </c>
      <c r="V26" s="216"/>
      <c r="W26" s="213"/>
      <c r="X26" s="245">
        <v>100</v>
      </c>
      <c r="Y26" s="245">
        <v>0</v>
      </c>
      <c r="Z26" s="216">
        <v>0</v>
      </c>
      <c r="AA26" s="213"/>
      <c r="AB26" s="245">
        <v>100</v>
      </c>
      <c r="AC26" s="245">
        <v>331.35</v>
      </c>
      <c r="AD26" s="216">
        <f t="shared" si="6"/>
        <v>0</v>
      </c>
      <c r="AE26" s="213"/>
      <c r="AF26" s="245">
        <v>100</v>
      </c>
      <c r="AG26" s="245">
        <v>100</v>
      </c>
      <c r="AH26" s="245">
        <v>23</v>
      </c>
      <c r="AI26" s="216">
        <f t="shared" si="7"/>
        <v>0</v>
      </c>
      <c r="AJ26" s="216"/>
      <c r="AK26" s="398">
        <v>100</v>
      </c>
      <c r="AL26" s="398">
        <v>0</v>
      </c>
      <c r="AM26" s="396">
        <f t="shared" si="8"/>
        <v>0</v>
      </c>
      <c r="AN26" s="397"/>
      <c r="AO26" s="143">
        <v>100</v>
      </c>
      <c r="AP26" s="398">
        <f t="shared" si="3"/>
        <v>0</v>
      </c>
      <c r="AQ26" s="396">
        <f t="shared" si="4"/>
        <v>0</v>
      </c>
      <c r="AR26" s="288"/>
    </row>
    <row r="27" spans="1:44" s="211" customFormat="1" hidden="1" x14ac:dyDescent="0.25">
      <c r="A27" s="211" t="s">
        <v>800</v>
      </c>
      <c r="B27" s="214" t="str">
        <f t="shared" si="5"/>
        <v>5325</v>
      </c>
      <c r="C27" s="211" t="s">
        <v>1892</v>
      </c>
      <c r="D27" s="245">
        <v>0</v>
      </c>
      <c r="E27" s="245">
        <v>0</v>
      </c>
      <c r="F27" s="216"/>
      <c r="G27" s="213"/>
      <c r="H27" s="245">
        <v>300</v>
      </c>
      <c r="I27" s="245">
        <v>0</v>
      </c>
      <c r="J27" s="216"/>
      <c r="K27" s="213"/>
      <c r="L27" s="245">
        <v>200</v>
      </c>
      <c r="M27" s="245">
        <v>0</v>
      </c>
      <c r="N27" s="216"/>
      <c r="O27" s="213"/>
      <c r="P27" s="245">
        <v>200</v>
      </c>
      <c r="Q27" s="245">
        <v>0</v>
      </c>
      <c r="R27" s="216"/>
      <c r="S27" s="213"/>
      <c r="T27" s="245">
        <v>0</v>
      </c>
      <c r="U27" s="245">
        <v>0</v>
      </c>
      <c r="V27" s="216"/>
      <c r="W27" s="213"/>
      <c r="X27" s="245">
        <v>0</v>
      </c>
      <c r="Y27" s="245">
        <v>0</v>
      </c>
      <c r="Z27" s="216" t="e">
        <v>#DIV/0!</v>
      </c>
      <c r="AA27" s="213"/>
      <c r="AB27" s="245">
        <v>0</v>
      </c>
      <c r="AC27" s="245">
        <v>0</v>
      </c>
      <c r="AD27" s="216" t="e">
        <f t="shared" si="6"/>
        <v>#DIV/0!</v>
      </c>
      <c r="AE27" s="213"/>
      <c r="AF27" s="245"/>
      <c r="AG27" s="245"/>
      <c r="AH27" s="245"/>
      <c r="AI27" s="216"/>
      <c r="AJ27" s="216"/>
      <c r="AK27" s="398"/>
      <c r="AL27" s="398"/>
      <c r="AM27" s="396" t="e">
        <f t="shared" si="8"/>
        <v>#DIV/0!</v>
      </c>
      <c r="AN27" s="397"/>
      <c r="AO27" s="143"/>
      <c r="AP27" s="398">
        <f t="shared" si="3"/>
        <v>0</v>
      </c>
      <c r="AQ27" s="396" t="e">
        <f t="shared" si="4"/>
        <v>#DIV/0!</v>
      </c>
      <c r="AR27" s="288"/>
    </row>
    <row r="28" spans="1:44" s="394" customFormat="1" x14ac:dyDescent="0.25">
      <c r="A28" s="395" t="s">
        <v>1990</v>
      </c>
      <c r="B28" s="395" t="str">
        <f t="shared" si="5"/>
        <v>5307</v>
      </c>
      <c r="C28" s="394" t="s">
        <v>1770</v>
      </c>
      <c r="D28" s="398"/>
      <c r="E28" s="398"/>
      <c r="F28" s="396"/>
      <c r="G28" s="397"/>
      <c r="H28" s="398"/>
      <c r="I28" s="398"/>
      <c r="J28" s="396"/>
      <c r="K28" s="397"/>
      <c r="L28" s="398"/>
      <c r="M28" s="398"/>
      <c r="N28" s="396"/>
      <c r="O28" s="397"/>
      <c r="P28" s="398"/>
      <c r="Q28" s="398"/>
      <c r="R28" s="396"/>
      <c r="S28" s="397"/>
      <c r="T28" s="398"/>
      <c r="U28" s="398"/>
      <c r="V28" s="396"/>
      <c r="W28" s="397"/>
      <c r="X28" s="398"/>
      <c r="Y28" s="398"/>
      <c r="Z28" s="396"/>
      <c r="AA28" s="397"/>
      <c r="AB28" s="398"/>
      <c r="AC28" s="398"/>
      <c r="AD28" s="396"/>
      <c r="AE28" s="397"/>
      <c r="AF28" s="398"/>
      <c r="AG28" s="398"/>
      <c r="AH28" s="398"/>
      <c r="AI28" s="396"/>
      <c r="AJ28" s="396"/>
      <c r="AK28" s="398"/>
      <c r="AL28" s="398">
        <v>101.5</v>
      </c>
      <c r="AM28" s="396"/>
      <c r="AN28" s="397"/>
      <c r="AO28" s="143"/>
      <c r="AP28" s="398"/>
      <c r="AQ28" s="396"/>
      <c r="AR28" s="400"/>
    </row>
    <row r="29" spans="1:44" s="211" customFormat="1" x14ac:dyDescent="0.25">
      <c r="A29" s="211" t="s">
        <v>801</v>
      </c>
      <c r="B29" s="214" t="str">
        <f t="shared" si="5"/>
        <v>5341</v>
      </c>
      <c r="C29" s="211" t="s">
        <v>1640</v>
      </c>
      <c r="D29" s="245">
        <v>750</v>
      </c>
      <c r="E29" s="245">
        <v>719.98</v>
      </c>
      <c r="F29" s="216"/>
      <c r="G29" s="213"/>
      <c r="H29" s="245">
        <v>750</v>
      </c>
      <c r="I29" s="245">
        <v>0</v>
      </c>
      <c r="J29" s="216"/>
      <c r="K29" s="213"/>
      <c r="L29" s="245">
        <v>750</v>
      </c>
      <c r="M29" s="245">
        <v>235.86</v>
      </c>
      <c r="N29" s="216"/>
      <c r="O29" s="213"/>
      <c r="P29" s="245">
        <v>750</v>
      </c>
      <c r="Q29" s="245">
        <v>526.53</v>
      </c>
      <c r="R29" s="216"/>
      <c r="S29" s="213"/>
      <c r="T29" s="245">
        <v>240</v>
      </c>
      <c r="U29" s="245">
        <v>930.03</v>
      </c>
      <c r="V29" s="216"/>
      <c r="W29" s="213"/>
      <c r="X29" s="245">
        <v>240</v>
      </c>
      <c r="Y29" s="245">
        <v>573.48</v>
      </c>
      <c r="Z29" s="216">
        <v>0</v>
      </c>
      <c r="AA29" s="213"/>
      <c r="AB29" s="245">
        <v>240</v>
      </c>
      <c r="AC29" s="245">
        <v>726.96</v>
      </c>
      <c r="AD29" s="216">
        <f t="shared" si="6"/>
        <v>0</v>
      </c>
      <c r="AE29" s="213"/>
      <c r="AF29" s="245">
        <v>240</v>
      </c>
      <c r="AG29" s="245">
        <v>240</v>
      </c>
      <c r="AH29" s="245">
        <v>625.99</v>
      </c>
      <c r="AI29" s="216">
        <f t="shared" si="7"/>
        <v>0</v>
      </c>
      <c r="AJ29" s="216"/>
      <c r="AK29" s="398">
        <v>240</v>
      </c>
      <c r="AL29" s="398">
        <v>578.42999999999995</v>
      </c>
      <c r="AM29" s="396">
        <f t="shared" si="8"/>
        <v>0</v>
      </c>
      <c r="AN29" s="397"/>
      <c r="AO29" s="143">
        <v>240</v>
      </c>
      <c r="AP29" s="398">
        <f t="shared" si="3"/>
        <v>0</v>
      </c>
      <c r="AQ29" s="396">
        <f t="shared" si="4"/>
        <v>0</v>
      </c>
      <c r="AR29" s="288" t="s">
        <v>1300</v>
      </c>
    </row>
    <row r="30" spans="1:44" s="211" customFormat="1" x14ac:dyDescent="0.25">
      <c r="A30" s="211" t="s">
        <v>802</v>
      </c>
      <c r="B30" s="214" t="str">
        <f t="shared" si="5"/>
        <v>5343</v>
      </c>
      <c r="C30" s="211" t="s">
        <v>1723</v>
      </c>
      <c r="D30" s="245">
        <v>2800</v>
      </c>
      <c r="E30" s="245">
        <v>3191.98</v>
      </c>
      <c r="F30" s="216"/>
      <c r="G30" s="213"/>
      <c r="H30" s="245">
        <v>2800</v>
      </c>
      <c r="I30" s="245">
        <v>3264.79</v>
      </c>
      <c r="J30" s="216"/>
      <c r="K30" s="213"/>
      <c r="L30" s="245">
        <v>2800</v>
      </c>
      <c r="M30" s="245">
        <v>1628.63</v>
      </c>
      <c r="N30" s="216"/>
      <c r="O30" s="213"/>
      <c r="P30" s="245">
        <v>3000</v>
      </c>
      <c r="Q30" s="245">
        <v>1548.99</v>
      </c>
      <c r="R30" s="216"/>
      <c r="S30" s="213"/>
      <c r="T30" s="245">
        <v>2000</v>
      </c>
      <c r="U30" s="245">
        <v>1558.37</v>
      </c>
      <c r="V30" s="216"/>
      <c r="W30" s="213"/>
      <c r="X30" s="245">
        <v>2000</v>
      </c>
      <c r="Y30" s="245">
        <v>4826.63</v>
      </c>
      <c r="Z30" s="216">
        <v>0</v>
      </c>
      <c r="AA30" s="213"/>
      <c r="AB30" s="245">
        <v>2000</v>
      </c>
      <c r="AC30" s="245">
        <v>645</v>
      </c>
      <c r="AD30" s="216">
        <f t="shared" si="6"/>
        <v>0</v>
      </c>
      <c r="AE30" s="213"/>
      <c r="AF30" s="245">
        <v>2000</v>
      </c>
      <c r="AG30" s="245">
        <v>2000</v>
      </c>
      <c r="AH30" s="245">
        <v>3880.16</v>
      </c>
      <c r="AI30" s="216">
        <f t="shared" si="7"/>
        <v>0</v>
      </c>
      <c r="AJ30" s="216"/>
      <c r="AK30" s="398">
        <v>2000</v>
      </c>
      <c r="AL30" s="398">
        <v>145</v>
      </c>
      <c r="AM30" s="396">
        <f t="shared" si="8"/>
        <v>0</v>
      </c>
      <c r="AN30" s="397"/>
      <c r="AO30" s="143">
        <v>2000</v>
      </c>
      <c r="AP30" s="398">
        <f t="shared" si="3"/>
        <v>0</v>
      </c>
      <c r="AQ30" s="396">
        <f t="shared" si="4"/>
        <v>0</v>
      </c>
      <c r="AR30" s="288" t="s">
        <v>1300</v>
      </c>
    </row>
    <row r="31" spans="1:44" s="211" customFormat="1" x14ac:dyDescent="0.25">
      <c r="A31" s="211" t="s">
        <v>803</v>
      </c>
      <c r="B31" s="214" t="str">
        <f t="shared" si="5"/>
        <v>5344</v>
      </c>
      <c r="C31" s="211" t="s">
        <v>1601</v>
      </c>
      <c r="D31" s="245">
        <v>350</v>
      </c>
      <c r="E31" s="245">
        <v>21.25</v>
      </c>
      <c r="F31" s="216"/>
      <c r="G31" s="213"/>
      <c r="H31" s="245">
        <v>150</v>
      </c>
      <c r="I31" s="245">
        <v>61.6</v>
      </c>
      <c r="J31" s="216"/>
      <c r="K31" s="213"/>
      <c r="L31" s="245">
        <v>100</v>
      </c>
      <c r="M31" s="245">
        <v>19.77</v>
      </c>
      <c r="N31" s="216"/>
      <c r="O31" s="213"/>
      <c r="P31" s="245">
        <v>50</v>
      </c>
      <c r="Q31" s="245">
        <v>38.03</v>
      </c>
      <c r="R31" s="216"/>
      <c r="S31" s="213"/>
      <c r="T31" s="245">
        <v>50</v>
      </c>
      <c r="U31" s="245">
        <v>44.16</v>
      </c>
      <c r="V31" s="216"/>
      <c r="W31" s="213"/>
      <c r="X31" s="245">
        <v>50</v>
      </c>
      <c r="Y31" s="245">
        <v>30.02</v>
      </c>
      <c r="Z31" s="216">
        <v>0</v>
      </c>
      <c r="AA31" s="213"/>
      <c r="AB31" s="245">
        <v>25</v>
      </c>
      <c r="AC31" s="245">
        <v>23.84</v>
      </c>
      <c r="AD31" s="216">
        <f t="shared" si="6"/>
        <v>-0.5</v>
      </c>
      <c r="AE31" s="213"/>
      <c r="AF31" s="245">
        <v>25</v>
      </c>
      <c r="AG31" s="245">
        <v>25</v>
      </c>
      <c r="AH31" s="245">
        <v>30.76</v>
      </c>
      <c r="AI31" s="216">
        <f t="shared" si="7"/>
        <v>0</v>
      </c>
      <c r="AJ31" s="216"/>
      <c r="AK31" s="398">
        <v>25</v>
      </c>
      <c r="AL31" s="398">
        <v>29.96</v>
      </c>
      <c r="AM31" s="396">
        <f t="shared" si="8"/>
        <v>0</v>
      </c>
      <c r="AN31" s="397"/>
      <c r="AO31" s="143">
        <v>25</v>
      </c>
      <c r="AP31" s="398">
        <f t="shared" si="3"/>
        <v>0</v>
      </c>
      <c r="AQ31" s="396">
        <f t="shared" si="4"/>
        <v>0</v>
      </c>
      <c r="AR31" s="288"/>
    </row>
    <row r="32" spans="1:44" s="211" customFormat="1" x14ac:dyDescent="0.25">
      <c r="A32" s="211" t="s">
        <v>804</v>
      </c>
      <c r="B32" s="214" t="str">
        <f t="shared" si="5"/>
        <v>5399</v>
      </c>
      <c r="C32" s="211" t="s">
        <v>1602</v>
      </c>
      <c r="D32" s="245">
        <v>7549.57</v>
      </c>
      <c r="E32" s="245">
        <v>8096.25</v>
      </c>
      <c r="F32" s="216"/>
      <c r="G32" s="213"/>
      <c r="H32" s="245">
        <v>7000</v>
      </c>
      <c r="I32" s="245">
        <v>15</v>
      </c>
      <c r="J32" s="216"/>
      <c r="K32" s="213"/>
      <c r="L32" s="245">
        <v>500</v>
      </c>
      <c r="M32" s="245">
        <v>170</v>
      </c>
      <c r="N32" s="216"/>
      <c r="O32" s="213"/>
      <c r="P32" s="245">
        <v>500</v>
      </c>
      <c r="Q32" s="245">
        <v>70</v>
      </c>
      <c r="R32" s="216"/>
      <c r="S32" s="213"/>
      <c r="T32" s="245">
        <v>0</v>
      </c>
      <c r="U32" s="245">
        <v>70</v>
      </c>
      <c r="V32" s="216"/>
      <c r="W32" s="213"/>
      <c r="X32" s="245">
        <v>0</v>
      </c>
      <c r="Y32" s="245">
        <v>497</v>
      </c>
      <c r="Z32" s="216" t="e">
        <v>#DIV/0!</v>
      </c>
      <c r="AA32" s="213"/>
      <c r="AB32" s="245">
        <v>5000</v>
      </c>
      <c r="AC32" s="245">
        <v>823.5</v>
      </c>
      <c r="AD32" s="216" t="e">
        <f t="shared" si="6"/>
        <v>#DIV/0!</v>
      </c>
      <c r="AE32" s="213"/>
      <c r="AF32" s="245">
        <v>5000</v>
      </c>
      <c r="AG32" s="245">
        <v>5000</v>
      </c>
      <c r="AH32" s="245">
        <v>1572.5</v>
      </c>
      <c r="AI32" s="216">
        <f t="shared" si="7"/>
        <v>0</v>
      </c>
      <c r="AJ32" s="216"/>
      <c r="AK32" s="398">
        <v>5000</v>
      </c>
      <c r="AL32" s="398">
        <v>1550.99</v>
      </c>
      <c r="AM32" s="396">
        <f t="shared" si="8"/>
        <v>0</v>
      </c>
      <c r="AN32" s="397"/>
      <c r="AO32" s="143">
        <v>3000</v>
      </c>
      <c r="AP32" s="398">
        <f t="shared" si="3"/>
        <v>-2000</v>
      </c>
      <c r="AQ32" s="396">
        <f t="shared" si="4"/>
        <v>-0.4</v>
      </c>
      <c r="AR32" s="288" t="s">
        <v>1301</v>
      </c>
    </row>
    <row r="33" spans="1:44" s="211" customFormat="1" x14ac:dyDescent="0.25">
      <c r="A33" s="211" t="s">
        <v>805</v>
      </c>
      <c r="B33" s="214" t="str">
        <f t="shared" si="5"/>
        <v>5420</v>
      </c>
      <c r="C33" s="211" t="s">
        <v>1480</v>
      </c>
      <c r="D33" s="245">
        <v>500</v>
      </c>
      <c r="E33" s="245">
        <v>481.86</v>
      </c>
      <c r="F33" s="216"/>
      <c r="G33" s="213"/>
      <c r="H33" s="245">
        <v>900</v>
      </c>
      <c r="I33" s="245">
        <v>172.9</v>
      </c>
      <c r="J33" s="216"/>
      <c r="K33" s="213"/>
      <c r="L33" s="245">
        <v>600</v>
      </c>
      <c r="M33" s="245">
        <v>603.20000000000005</v>
      </c>
      <c r="N33" s="216"/>
      <c r="O33" s="213"/>
      <c r="P33" s="245">
        <v>400</v>
      </c>
      <c r="Q33" s="245">
        <v>302.32</v>
      </c>
      <c r="R33" s="216"/>
      <c r="S33" s="213"/>
      <c r="T33" s="245">
        <v>600</v>
      </c>
      <c r="U33" s="245">
        <v>1121.95</v>
      </c>
      <c r="V33" s="216"/>
      <c r="W33" s="213"/>
      <c r="X33" s="245">
        <v>600</v>
      </c>
      <c r="Y33" s="245">
        <v>330.44</v>
      </c>
      <c r="Z33" s="216">
        <v>0</v>
      </c>
      <c r="AA33" s="213"/>
      <c r="AB33" s="245">
        <v>400</v>
      </c>
      <c r="AC33" s="245">
        <v>428.53</v>
      </c>
      <c r="AD33" s="216">
        <f t="shared" si="6"/>
        <v>-0.33333333333333331</v>
      </c>
      <c r="AE33" s="213"/>
      <c r="AF33" s="245">
        <v>400</v>
      </c>
      <c r="AG33" s="245">
        <v>400</v>
      </c>
      <c r="AH33" s="245">
        <v>120.31</v>
      </c>
      <c r="AI33" s="216">
        <f t="shared" si="7"/>
        <v>0</v>
      </c>
      <c r="AJ33" s="216"/>
      <c r="AK33" s="398">
        <v>400</v>
      </c>
      <c r="AL33" s="398">
        <v>162.32</v>
      </c>
      <c r="AM33" s="396">
        <f t="shared" si="8"/>
        <v>0</v>
      </c>
      <c r="AN33" s="397"/>
      <c r="AO33" s="143">
        <v>400</v>
      </c>
      <c r="AP33" s="398">
        <f t="shared" si="3"/>
        <v>0</v>
      </c>
      <c r="AQ33" s="396">
        <f t="shared" si="4"/>
        <v>0</v>
      </c>
      <c r="AR33" s="288" t="s">
        <v>1300</v>
      </c>
    </row>
    <row r="34" spans="1:44" s="211" customFormat="1" x14ac:dyDescent="0.25">
      <c r="A34" s="211" t="s">
        <v>806</v>
      </c>
      <c r="B34" s="214" t="str">
        <f t="shared" si="5"/>
        <v>5430</v>
      </c>
      <c r="C34" s="211" t="s">
        <v>1673</v>
      </c>
      <c r="D34" s="245">
        <v>1300</v>
      </c>
      <c r="E34" s="245">
        <v>1827.35</v>
      </c>
      <c r="F34" s="216"/>
      <c r="G34" s="213"/>
      <c r="H34" s="245">
        <v>1500</v>
      </c>
      <c r="I34" s="245">
        <v>1605.18</v>
      </c>
      <c r="J34" s="216"/>
      <c r="K34" s="213"/>
      <c r="L34" s="245">
        <v>1500</v>
      </c>
      <c r="M34" s="245">
        <v>1273.48</v>
      </c>
      <c r="N34" s="216"/>
      <c r="O34" s="213"/>
      <c r="P34" s="245">
        <v>1400</v>
      </c>
      <c r="Q34" s="245">
        <v>3576.41</v>
      </c>
      <c r="R34" s="216"/>
      <c r="S34" s="213"/>
      <c r="T34" s="245">
        <v>2000</v>
      </c>
      <c r="U34" s="245">
        <v>1592.24</v>
      </c>
      <c r="V34" s="216"/>
      <c r="W34" s="213"/>
      <c r="X34" s="245">
        <v>2000</v>
      </c>
      <c r="Y34" s="245">
        <v>2048.67</v>
      </c>
      <c r="Z34" s="216">
        <v>0</v>
      </c>
      <c r="AA34" s="213"/>
      <c r="AB34" s="245">
        <v>2000</v>
      </c>
      <c r="AC34" s="245">
        <v>3147.58</v>
      </c>
      <c r="AD34" s="216">
        <f t="shared" si="6"/>
        <v>0</v>
      </c>
      <c r="AE34" s="213"/>
      <c r="AF34" s="245">
        <v>2000</v>
      </c>
      <c r="AG34" s="245">
        <v>2000</v>
      </c>
      <c r="AH34" s="245">
        <v>2008.41</v>
      </c>
      <c r="AI34" s="216">
        <f t="shared" si="7"/>
        <v>0</v>
      </c>
      <c r="AJ34" s="216"/>
      <c r="AK34" s="398">
        <v>2000</v>
      </c>
      <c r="AL34" s="398">
        <v>2434.11</v>
      </c>
      <c r="AM34" s="396">
        <f t="shared" si="8"/>
        <v>0</v>
      </c>
      <c r="AN34" s="397"/>
      <c r="AO34" s="143">
        <v>2000</v>
      </c>
      <c r="AP34" s="398">
        <f t="shared" si="3"/>
        <v>0</v>
      </c>
      <c r="AQ34" s="396">
        <f t="shared" si="4"/>
        <v>0</v>
      </c>
      <c r="AR34" s="288"/>
    </row>
    <row r="35" spans="1:44" s="211" customFormat="1" x14ac:dyDescent="0.25">
      <c r="A35" s="211" t="s">
        <v>807</v>
      </c>
      <c r="B35" s="214" t="str">
        <f t="shared" si="5"/>
        <v>5532</v>
      </c>
      <c r="C35" s="211" t="s">
        <v>1846</v>
      </c>
      <c r="D35" s="245">
        <v>300</v>
      </c>
      <c r="E35" s="245">
        <v>329.75</v>
      </c>
      <c r="F35" s="216"/>
      <c r="G35" s="213"/>
      <c r="H35" s="245">
        <v>300</v>
      </c>
      <c r="I35" s="245">
        <v>108.3</v>
      </c>
      <c r="J35" s="216"/>
      <c r="K35" s="213"/>
      <c r="L35" s="245">
        <v>300</v>
      </c>
      <c r="M35" s="245">
        <v>34.9</v>
      </c>
      <c r="N35" s="216"/>
      <c r="O35" s="213"/>
      <c r="P35" s="245">
        <v>200</v>
      </c>
      <c r="Q35" s="245">
        <v>0</v>
      </c>
      <c r="R35" s="216"/>
      <c r="S35" s="213"/>
      <c r="T35" s="245">
        <v>0</v>
      </c>
      <c r="U35" s="245">
        <v>0</v>
      </c>
      <c r="V35" s="216"/>
      <c r="W35" s="213"/>
      <c r="X35" s="245">
        <v>500</v>
      </c>
      <c r="Y35" s="245">
        <v>0</v>
      </c>
      <c r="Z35" s="216" t="e">
        <v>#DIV/0!</v>
      </c>
      <c r="AA35" s="213"/>
      <c r="AB35" s="245">
        <v>200</v>
      </c>
      <c r="AC35" s="245">
        <v>0</v>
      </c>
      <c r="AD35" s="216">
        <f t="shared" si="6"/>
        <v>-0.6</v>
      </c>
      <c r="AE35" s="213"/>
      <c r="AF35" s="245">
        <v>200</v>
      </c>
      <c r="AG35" s="245">
        <v>200</v>
      </c>
      <c r="AH35" s="245">
        <v>77.400000000000006</v>
      </c>
      <c r="AI35" s="216">
        <f t="shared" si="7"/>
        <v>0</v>
      </c>
      <c r="AJ35" s="216"/>
      <c r="AK35" s="398">
        <v>200</v>
      </c>
      <c r="AL35" s="398">
        <v>29.95</v>
      </c>
      <c r="AM35" s="396">
        <f t="shared" si="8"/>
        <v>0</v>
      </c>
      <c r="AN35" s="397"/>
      <c r="AO35" s="143">
        <v>200</v>
      </c>
      <c r="AP35" s="398">
        <f t="shared" si="3"/>
        <v>0</v>
      </c>
      <c r="AQ35" s="396">
        <f t="shared" si="4"/>
        <v>0</v>
      </c>
      <c r="AR35" s="288"/>
    </row>
    <row r="36" spans="1:44" s="211" customFormat="1" x14ac:dyDescent="0.25">
      <c r="A36" s="211" t="s">
        <v>808</v>
      </c>
      <c r="B36" s="214" t="str">
        <f t="shared" si="5"/>
        <v>5582</v>
      </c>
      <c r="C36" s="211" t="s">
        <v>1615</v>
      </c>
      <c r="D36" s="245">
        <v>500</v>
      </c>
      <c r="E36" s="245">
        <v>32.479999999999997</v>
      </c>
      <c r="F36" s="216"/>
      <c r="G36" s="213"/>
      <c r="H36" s="245">
        <v>400</v>
      </c>
      <c r="I36" s="245">
        <v>0</v>
      </c>
      <c r="J36" s="216"/>
      <c r="K36" s="213"/>
      <c r="L36" s="245">
        <v>350</v>
      </c>
      <c r="M36" s="245">
        <v>88.49</v>
      </c>
      <c r="N36" s="216"/>
      <c r="O36" s="213"/>
      <c r="P36" s="245">
        <v>350</v>
      </c>
      <c r="Q36" s="245">
        <v>58.39</v>
      </c>
      <c r="R36" s="216"/>
      <c r="S36" s="213"/>
      <c r="T36" s="245">
        <v>350</v>
      </c>
      <c r="U36" s="245">
        <v>0</v>
      </c>
      <c r="V36" s="216"/>
      <c r="W36" s="213"/>
      <c r="X36" s="245">
        <v>350</v>
      </c>
      <c r="Y36" s="245">
        <v>0</v>
      </c>
      <c r="Z36" s="216">
        <v>0</v>
      </c>
      <c r="AA36" s="213"/>
      <c r="AB36" s="245">
        <v>350</v>
      </c>
      <c r="AC36" s="245">
        <v>108.09</v>
      </c>
      <c r="AD36" s="216">
        <f t="shared" si="6"/>
        <v>0</v>
      </c>
      <c r="AE36" s="213"/>
      <c r="AF36" s="245">
        <v>350</v>
      </c>
      <c r="AG36" s="245">
        <v>350</v>
      </c>
      <c r="AH36" s="245">
        <v>0</v>
      </c>
      <c r="AI36" s="216">
        <f t="shared" si="7"/>
        <v>0</v>
      </c>
      <c r="AJ36" s="216"/>
      <c r="AK36" s="398">
        <v>350</v>
      </c>
      <c r="AL36" s="398">
        <v>0</v>
      </c>
      <c r="AM36" s="396">
        <f t="shared" si="8"/>
        <v>0</v>
      </c>
      <c r="AN36" s="397"/>
      <c r="AO36" s="143">
        <v>350</v>
      </c>
      <c r="AP36" s="398">
        <f t="shared" si="3"/>
        <v>0</v>
      </c>
      <c r="AQ36" s="396">
        <f t="shared" si="4"/>
        <v>0</v>
      </c>
      <c r="AR36" s="288" t="s">
        <v>1300</v>
      </c>
    </row>
    <row r="37" spans="1:44" s="211" customFormat="1" hidden="1" x14ac:dyDescent="0.25">
      <c r="A37" s="211" t="s">
        <v>809</v>
      </c>
      <c r="B37" s="214" t="str">
        <f t="shared" si="5"/>
        <v>5584</v>
      </c>
      <c r="C37" s="211" t="s">
        <v>1893</v>
      </c>
      <c r="D37" s="245">
        <v>500</v>
      </c>
      <c r="E37" s="245">
        <v>0</v>
      </c>
      <c r="F37" s="216"/>
      <c r="G37" s="213"/>
      <c r="H37" s="245">
        <v>500</v>
      </c>
      <c r="I37" s="245">
        <v>0</v>
      </c>
      <c r="J37" s="216"/>
      <c r="K37" s="213"/>
      <c r="L37" s="245">
        <v>700</v>
      </c>
      <c r="M37" s="245">
        <v>-213.83</v>
      </c>
      <c r="N37" s="216"/>
      <c r="O37" s="213"/>
      <c r="P37" s="245">
        <v>500</v>
      </c>
      <c r="Q37" s="245">
        <v>0</v>
      </c>
      <c r="R37" s="216"/>
      <c r="S37" s="213"/>
      <c r="T37" s="245">
        <v>500</v>
      </c>
      <c r="U37" s="245">
        <v>0</v>
      </c>
      <c r="V37" s="216"/>
      <c r="W37" s="213"/>
      <c r="X37" s="245">
        <v>0</v>
      </c>
      <c r="Y37" s="245">
        <v>0</v>
      </c>
      <c r="Z37" s="216">
        <v>-1</v>
      </c>
      <c r="AA37" s="213"/>
      <c r="AB37" s="245">
        <v>0</v>
      </c>
      <c r="AC37" s="245">
        <v>0</v>
      </c>
      <c r="AD37" s="216" t="e">
        <f t="shared" si="6"/>
        <v>#DIV/0!</v>
      </c>
      <c r="AE37" s="213"/>
      <c r="AF37" s="245"/>
      <c r="AG37" s="245"/>
      <c r="AH37" s="245"/>
      <c r="AI37" s="216" t="e">
        <f t="shared" si="7"/>
        <v>#DIV/0!</v>
      </c>
      <c r="AJ37" s="216"/>
      <c r="AK37" s="398"/>
      <c r="AL37" s="398"/>
      <c r="AM37" s="396" t="e">
        <f t="shared" si="8"/>
        <v>#DIV/0!</v>
      </c>
      <c r="AN37" s="397"/>
      <c r="AO37" s="143"/>
      <c r="AP37" s="398">
        <f t="shared" si="3"/>
        <v>0</v>
      </c>
      <c r="AQ37" s="396" t="e">
        <f t="shared" si="4"/>
        <v>#DIV/0!</v>
      </c>
      <c r="AR37" s="288"/>
    </row>
    <row r="38" spans="1:44" s="211" customFormat="1" x14ac:dyDescent="0.25">
      <c r="A38" s="211" t="s">
        <v>810</v>
      </c>
      <c r="B38" s="214" t="str">
        <f t="shared" si="5"/>
        <v>5585</v>
      </c>
      <c r="C38" s="211" t="s">
        <v>1684</v>
      </c>
      <c r="D38" s="245">
        <v>2000</v>
      </c>
      <c r="E38" s="245">
        <v>2679.7</v>
      </c>
      <c r="F38" s="216"/>
      <c r="G38" s="213"/>
      <c r="H38" s="245">
        <v>2000</v>
      </c>
      <c r="I38" s="245">
        <v>1873</v>
      </c>
      <c r="J38" s="216"/>
      <c r="K38" s="213"/>
      <c r="L38" s="245">
        <v>2000</v>
      </c>
      <c r="M38" s="245">
        <v>1664</v>
      </c>
      <c r="N38" s="216"/>
      <c r="O38" s="213"/>
      <c r="P38" s="245">
        <v>2000</v>
      </c>
      <c r="Q38" s="245">
        <v>1610.25</v>
      </c>
      <c r="R38" s="216"/>
      <c r="S38" s="213"/>
      <c r="T38" s="245">
        <v>2000</v>
      </c>
      <c r="U38" s="245">
        <v>2358.5</v>
      </c>
      <c r="V38" s="216"/>
      <c r="W38" s="213"/>
      <c r="X38" s="245">
        <v>2000</v>
      </c>
      <c r="Y38" s="245">
        <v>1765</v>
      </c>
      <c r="Z38" s="216">
        <v>0</v>
      </c>
      <c r="AA38" s="213"/>
      <c r="AB38" s="245">
        <v>1800</v>
      </c>
      <c r="AC38" s="245">
        <v>1691</v>
      </c>
      <c r="AD38" s="216">
        <f t="shared" si="6"/>
        <v>-0.1</v>
      </c>
      <c r="AE38" s="213"/>
      <c r="AF38" s="245">
        <v>1800</v>
      </c>
      <c r="AG38" s="245">
        <v>1800</v>
      </c>
      <c r="AH38" s="245">
        <v>2114.4</v>
      </c>
      <c r="AI38" s="216">
        <f t="shared" si="7"/>
        <v>0</v>
      </c>
      <c r="AJ38" s="216"/>
      <c r="AK38" s="398">
        <v>1800</v>
      </c>
      <c r="AL38" s="398"/>
      <c r="AM38" s="396">
        <f t="shared" si="8"/>
        <v>0</v>
      </c>
      <c r="AN38" s="397"/>
      <c r="AO38" s="143">
        <v>1800</v>
      </c>
      <c r="AP38" s="398">
        <f t="shared" si="3"/>
        <v>0</v>
      </c>
      <c r="AQ38" s="396">
        <f t="shared" si="4"/>
        <v>0</v>
      </c>
      <c r="AR38" s="288"/>
    </row>
    <row r="39" spans="1:44" s="211" customFormat="1" hidden="1" x14ac:dyDescent="0.25">
      <c r="A39" s="211" t="s">
        <v>811</v>
      </c>
      <c r="B39" s="214" t="str">
        <f t="shared" si="5"/>
        <v>5589</v>
      </c>
      <c r="C39" s="211" t="s">
        <v>1604</v>
      </c>
      <c r="D39" s="245">
        <v>300</v>
      </c>
      <c r="E39" s="245">
        <v>249.22</v>
      </c>
      <c r="F39" s="216"/>
      <c r="G39" s="213"/>
      <c r="H39" s="245">
        <v>300</v>
      </c>
      <c r="I39" s="245">
        <v>205.32</v>
      </c>
      <c r="J39" s="216"/>
      <c r="K39" s="213"/>
      <c r="L39" s="245">
        <v>300</v>
      </c>
      <c r="M39" s="245">
        <v>518.21</v>
      </c>
      <c r="N39" s="216"/>
      <c r="O39" s="213"/>
      <c r="P39" s="245">
        <v>300</v>
      </c>
      <c r="Q39" s="245">
        <v>33.880000000000003</v>
      </c>
      <c r="R39" s="216"/>
      <c r="S39" s="213"/>
      <c r="T39" s="245">
        <v>0</v>
      </c>
      <c r="U39" s="245">
        <v>274.14999999999998</v>
      </c>
      <c r="V39" s="216"/>
      <c r="W39" s="213"/>
      <c r="X39" s="245">
        <v>0</v>
      </c>
      <c r="Y39" s="245">
        <v>233.49</v>
      </c>
      <c r="Z39" s="216" t="e">
        <v>#DIV/0!</v>
      </c>
      <c r="AA39" s="213"/>
      <c r="AB39" s="245">
        <v>0</v>
      </c>
      <c r="AC39" s="245">
        <v>170</v>
      </c>
      <c r="AD39" s="216" t="e">
        <f t="shared" si="6"/>
        <v>#DIV/0!</v>
      </c>
      <c r="AE39" s="213"/>
      <c r="AF39" s="245"/>
      <c r="AG39" s="245"/>
      <c r="AH39" s="245"/>
      <c r="AI39" s="216" t="e">
        <f t="shared" si="7"/>
        <v>#DIV/0!</v>
      </c>
      <c r="AJ39" s="216"/>
      <c r="AK39" s="398"/>
      <c r="AL39" s="398"/>
      <c r="AM39" s="396" t="e">
        <f t="shared" si="8"/>
        <v>#DIV/0!</v>
      </c>
      <c r="AN39" s="397"/>
      <c r="AO39" s="143"/>
      <c r="AP39" s="398">
        <f t="shared" si="3"/>
        <v>0</v>
      </c>
      <c r="AQ39" s="396" t="e">
        <f t="shared" si="4"/>
        <v>#DIV/0!</v>
      </c>
      <c r="AR39" s="288"/>
    </row>
    <row r="40" spans="1:44" s="211" customFormat="1" x14ac:dyDescent="0.25">
      <c r="A40" s="211" t="s">
        <v>812</v>
      </c>
      <c r="B40" s="214" t="str">
        <f t="shared" si="5"/>
        <v>5595</v>
      </c>
      <c r="C40" s="211" t="s">
        <v>1654</v>
      </c>
      <c r="D40" s="245">
        <v>0</v>
      </c>
      <c r="E40" s="245">
        <v>0</v>
      </c>
      <c r="F40" s="216"/>
      <c r="G40" s="213"/>
      <c r="H40" s="245">
        <v>0</v>
      </c>
      <c r="I40" s="245">
        <v>620.22</v>
      </c>
      <c r="J40" s="216"/>
      <c r="K40" s="213"/>
      <c r="L40" s="245">
        <v>600</v>
      </c>
      <c r="M40" s="245">
        <v>608</v>
      </c>
      <c r="N40" s="216"/>
      <c r="O40" s="213"/>
      <c r="P40" s="245">
        <v>600</v>
      </c>
      <c r="Q40" s="245">
        <v>574.5</v>
      </c>
      <c r="R40" s="216"/>
      <c r="S40" s="213"/>
      <c r="T40" s="245">
        <v>500</v>
      </c>
      <c r="U40" s="245">
        <v>740.68</v>
      </c>
      <c r="V40" s="216"/>
      <c r="W40" s="213"/>
      <c r="X40" s="245">
        <v>600</v>
      </c>
      <c r="Y40" s="245">
        <v>774.49</v>
      </c>
      <c r="Z40" s="216">
        <v>0.2</v>
      </c>
      <c r="AA40" s="213"/>
      <c r="AB40" s="245">
        <v>700</v>
      </c>
      <c r="AC40" s="245">
        <v>803.25</v>
      </c>
      <c r="AD40" s="216">
        <f t="shared" si="6"/>
        <v>0.16666666666666666</v>
      </c>
      <c r="AE40" s="213"/>
      <c r="AF40" s="245">
        <v>700</v>
      </c>
      <c r="AG40" s="245">
        <v>700</v>
      </c>
      <c r="AH40" s="245">
        <v>780.22</v>
      </c>
      <c r="AI40" s="216">
        <f t="shared" si="7"/>
        <v>0</v>
      </c>
      <c r="AJ40" s="216"/>
      <c r="AK40" s="398">
        <v>700</v>
      </c>
      <c r="AL40" s="398">
        <v>587.25</v>
      </c>
      <c r="AM40" s="396">
        <f t="shared" si="8"/>
        <v>0</v>
      </c>
      <c r="AN40" s="397"/>
      <c r="AO40" s="143">
        <v>700</v>
      </c>
      <c r="AP40" s="398">
        <f t="shared" si="3"/>
        <v>0</v>
      </c>
      <c r="AQ40" s="396">
        <f t="shared" si="4"/>
        <v>0</v>
      </c>
      <c r="AR40" s="288"/>
    </row>
    <row r="41" spans="1:44" s="211" customFormat="1" x14ac:dyDescent="0.25">
      <c r="A41" s="211" t="s">
        <v>813</v>
      </c>
      <c r="B41" s="214" t="str">
        <f t="shared" si="5"/>
        <v>5711</v>
      </c>
      <c r="C41" s="211" t="s">
        <v>1606</v>
      </c>
      <c r="D41" s="245">
        <v>1300</v>
      </c>
      <c r="E41" s="245">
        <v>2158.84</v>
      </c>
      <c r="F41" s="216"/>
      <c r="G41" s="213"/>
      <c r="H41" s="245">
        <v>2000</v>
      </c>
      <c r="I41" s="245">
        <v>1743.59</v>
      </c>
      <c r="J41" s="216"/>
      <c r="K41" s="213"/>
      <c r="L41" s="245">
        <v>2000</v>
      </c>
      <c r="M41" s="245">
        <v>1396.71</v>
      </c>
      <c r="N41" s="216"/>
      <c r="O41" s="213"/>
      <c r="P41" s="245">
        <v>2000</v>
      </c>
      <c r="Q41" s="245">
        <v>1319.35</v>
      </c>
      <c r="R41" s="216"/>
      <c r="S41" s="213"/>
      <c r="T41" s="245">
        <v>2000</v>
      </c>
      <c r="U41" s="245">
        <v>1377.62</v>
      </c>
      <c r="V41" s="216"/>
      <c r="W41" s="213"/>
      <c r="X41" s="245">
        <v>2000</v>
      </c>
      <c r="Y41" s="245">
        <v>1471.09</v>
      </c>
      <c r="Z41" s="216">
        <v>0</v>
      </c>
      <c r="AA41" s="213"/>
      <c r="AB41" s="245">
        <v>1600</v>
      </c>
      <c r="AC41" s="245">
        <v>1278.99</v>
      </c>
      <c r="AD41" s="216">
        <f t="shared" si="6"/>
        <v>-0.2</v>
      </c>
      <c r="AE41" s="213"/>
      <c r="AF41" s="245">
        <v>1600</v>
      </c>
      <c r="AG41" s="245">
        <v>1600</v>
      </c>
      <c r="AH41" s="245">
        <v>1463.25</v>
      </c>
      <c r="AI41" s="216">
        <f t="shared" si="7"/>
        <v>0</v>
      </c>
      <c r="AJ41" s="216"/>
      <c r="AK41" s="398">
        <v>1600</v>
      </c>
      <c r="AL41" s="398">
        <v>0</v>
      </c>
      <c r="AM41" s="396">
        <f t="shared" si="8"/>
        <v>0</v>
      </c>
      <c r="AN41" s="397"/>
      <c r="AO41" s="143">
        <v>1600</v>
      </c>
      <c r="AP41" s="398">
        <f t="shared" si="3"/>
        <v>0</v>
      </c>
      <c r="AQ41" s="396">
        <f t="shared" si="4"/>
        <v>0</v>
      </c>
      <c r="AR41" s="288"/>
    </row>
    <row r="42" spans="1:44" s="211" customFormat="1" x14ac:dyDescent="0.25">
      <c r="A42" s="211" t="s">
        <v>814</v>
      </c>
      <c r="B42" s="214" t="str">
        <f t="shared" si="5"/>
        <v>5740</v>
      </c>
      <c r="C42" s="211" t="s">
        <v>1821</v>
      </c>
      <c r="D42" s="245">
        <v>0</v>
      </c>
      <c r="E42" s="245">
        <v>0</v>
      </c>
      <c r="F42" s="216"/>
      <c r="G42" s="213"/>
      <c r="H42" s="245">
        <v>0</v>
      </c>
      <c r="I42" s="245">
        <v>6284</v>
      </c>
      <c r="J42" s="216"/>
      <c r="K42" s="213"/>
      <c r="L42" s="245">
        <v>6500</v>
      </c>
      <c r="M42" s="245">
        <v>6760</v>
      </c>
      <c r="N42" s="216"/>
      <c r="O42" s="213"/>
      <c r="P42" s="245">
        <v>7235</v>
      </c>
      <c r="Q42" s="245">
        <v>6760</v>
      </c>
      <c r="R42" s="216"/>
      <c r="S42" s="213"/>
      <c r="T42" s="245">
        <v>7000</v>
      </c>
      <c r="U42" s="245">
        <v>4462.6400000000003</v>
      </c>
      <c r="V42" s="216"/>
      <c r="W42" s="213"/>
      <c r="X42" s="245">
        <v>7000</v>
      </c>
      <c r="Y42" s="245">
        <v>4550</v>
      </c>
      <c r="Z42" s="216">
        <v>0</v>
      </c>
      <c r="AA42" s="213"/>
      <c r="AB42" s="245">
        <v>6000</v>
      </c>
      <c r="AC42" s="245">
        <v>4810.26</v>
      </c>
      <c r="AD42" s="216">
        <f t="shared" si="6"/>
        <v>-0.14285714285714285</v>
      </c>
      <c r="AE42" s="213"/>
      <c r="AF42" s="245">
        <v>6000</v>
      </c>
      <c r="AG42" s="245">
        <v>6000</v>
      </c>
      <c r="AH42" s="245">
        <v>4620.72</v>
      </c>
      <c r="AI42" s="216">
        <f t="shared" si="7"/>
        <v>0</v>
      </c>
      <c r="AJ42" s="216"/>
      <c r="AK42" s="398">
        <v>6000</v>
      </c>
      <c r="AL42" s="398">
        <v>4682.08</v>
      </c>
      <c r="AM42" s="396">
        <f t="shared" si="8"/>
        <v>0</v>
      </c>
      <c r="AN42" s="397"/>
      <c r="AO42" s="143">
        <v>6000</v>
      </c>
      <c r="AP42" s="398">
        <f t="shared" si="3"/>
        <v>0</v>
      </c>
      <c r="AQ42" s="396">
        <f t="shared" si="4"/>
        <v>0</v>
      </c>
      <c r="AR42" s="288" t="s">
        <v>1302</v>
      </c>
    </row>
    <row r="43" spans="1:44" s="213" customFormat="1" x14ac:dyDescent="0.25">
      <c r="A43" s="211" t="s">
        <v>815</v>
      </c>
      <c r="B43" s="211" t="str">
        <f t="shared" si="5"/>
        <v>5850</v>
      </c>
      <c r="C43" s="211" t="s">
        <v>1674</v>
      </c>
      <c r="D43" s="245">
        <v>1200</v>
      </c>
      <c r="E43" s="245">
        <v>0</v>
      </c>
      <c r="F43" s="216"/>
      <c r="H43" s="245">
        <v>1200</v>
      </c>
      <c r="I43" s="245">
        <v>107.36</v>
      </c>
      <c r="J43" s="216"/>
      <c r="L43" s="245">
        <v>1100</v>
      </c>
      <c r="M43" s="245">
        <v>377.12</v>
      </c>
      <c r="N43" s="216"/>
      <c r="P43" s="245">
        <v>1000</v>
      </c>
      <c r="Q43" s="245">
        <v>208.9</v>
      </c>
      <c r="R43" s="216"/>
      <c r="T43" s="245">
        <v>0</v>
      </c>
      <c r="U43" s="245">
        <v>555.12</v>
      </c>
      <c r="V43" s="216"/>
      <c r="X43" s="245">
        <v>500</v>
      </c>
      <c r="Y43" s="245">
        <v>925</v>
      </c>
      <c r="Z43" s="216" t="e">
        <v>#DIV/0!</v>
      </c>
      <c r="AB43" s="245">
        <v>1000</v>
      </c>
      <c r="AC43" s="245">
        <v>737.95</v>
      </c>
      <c r="AD43" s="216">
        <f t="shared" si="6"/>
        <v>1</v>
      </c>
      <c r="AF43" s="245">
        <v>1000</v>
      </c>
      <c r="AG43" s="245">
        <v>1000</v>
      </c>
      <c r="AH43" s="245">
        <v>0</v>
      </c>
      <c r="AI43" s="216">
        <f t="shared" si="7"/>
        <v>0</v>
      </c>
      <c r="AJ43" s="216"/>
      <c r="AK43" s="398">
        <v>1000</v>
      </c>
      <c r="AL43" s="398">
        <v>970</v>
      </c>
      <c r="AM43" s="396">
        <f t="shared" si="8"/>
        <v>0</v>
      </c>
      <c r="AN43" s="397"/>
      <c r="AO43" s="163">
        <v>1000</v>
      </c>
      <c r="AP43" s="398">
        <f t="shared" si="3"/>
        <v>0</v>
      </c>
      <c r="AQ43" s="396">
        <f t="shared" si="4"/>
        <v>0</v>
      </c>
      <c r="AR43" s="288"/>
    </row>
    <row r="44" spans="1:44" s="213" customFormat="1" x14ac:dyDescent="0.25">
      <c r="A44" s="211" t="s">
        <v>816</v>
      </c>
      <c r="B44" s="211" t="str">
        <f t="shared" si="5"/>
        <v>5870</v>
      </c>
      <c r="C44" s="211" t="s">
        <v>1675</v>
      </c>
      <c r="D44" s="245">
        <v>1000</v>
      </c>
      <c r="E44" s="245">
        <v>430.24</v>
      </c>
      <c r="F44" s="216"/>
      <c r="H44" s="245">
        <v>1000</v>
      </c>
      <c r="I44" s="245">
        <v>1196.6099999999999</v>
      </c>
      <c r="J44" s="216"/>
      <c r="L44" s="245">
        <v>900</v>
      </c>
      <c r="M44" s="245">
        <v>2219.67</v>
      </c>
      <c r="N44" s="216"/>
      <c r="P44" s="245">
        <v>900</v>
      </c>
      <c r="Q44" s="245">
        <v>687.52</v>
      </c>
      <c r="R44" s="216"/>
      <c r="T44" s="245">
        <v>1500</v>
      </c>
      <c r="U44" s="245">
        <v>1516.08</v>
      </c>
      <c r="V44" s="216"/>
      <c r="X44" s="245">
        <v>1500</v>
      </c>
      <c r="Y44" s="245">
        <v>1720.68</v>
      </c>
      <c r="Z44" s="216">
        <v>0</v>
      </c>
      <c r="AB44" s="245">
        <v>3000</v>
      </c>
      <c r="AC44" s="245">
        <v>2534.3200000000002</v>
      </c>
      <c r="AD44" s="216">
        <f t="shared" si="6"/>
        <v>1</v>
      </c>
      <c r="AF44" s="245">
        <v>3000</v>
      </c>
      <c r="AG44" s="245">
        <v>3000</v>
      </c>
      <c r="AH44" s="245">
        <v>573.35</v>
      </c>
      <c r="AI44" s="216">
        <f t="shared" si="7"/>
        <v>0</v>
      </c>
      <c r="AJ44" s="216"/>
      <c r="AK44" s="398">
        <v>2000</v>
      </c>
      <c r="AL44" s="398">
        <v>1025.72</v>
      </c>
      <c r="AM44" s="396">
        <f t="shared" si="8"/>
        <v>-0.33333333333333331</v>
      </c>
      <c r="AN44" s="397"/>
      <c r="AO44" s="163">
        <v>2000</v>
      </c>
      <c r="AP44" s="398">
        <f t="shared" si="3"/>
        <v>0</v>
      </c>
      <c r="AQ44" s="396">
        <f t="shared" si="4"/>
        <v>0</v>
      </c>
      <c r="AR44" s="288"/>
    </row>
    <row r="45" spans="1:44" s="114" customFormat="1" x14ac:dyDescent="0.25">
      <c r="A45" s="219"/>
      <c r="B45" s="219"/>
      <c r="C45" s="219" t="s">
        <v>279</v>
      </c>
      <c r="D45" s="220">
        <f>SUM(D17:D44)</f>
        <v>34349.57</v>
      </c>
      <c r="E45" s="220">
        <f>SUM(E17:E44)</f>
        <v>34597.07</v>
      </c>
      <c r="F45" s="221">
        <v>1.52E-2</v>
      </c>
      <c r="G45" s="219"/>
      <c r="H45" s="220">
        <f>SUM(H17:H44)</f>
        <v>37850</v>
      </c>
      <c r="I45" s="220">
        <f>SUM(I17:I44)</f>
        <v>37671.39</v>
      </c>
      <c r="J45" s="221">
        <v>1.52E-2</v>
      </c>
      <c r="K45" s="219"/>
      <c r="L45" s="220">
        <f>SUM(L17:L44)</f>
        <v>38425</v>
      </c>
      <c r="M45" s="220">
        <f>SUM(M17:M44)</f>
        <v>35673.65</v>
      </c>
      <c r="N45" s="221">
        <v>1.52E-2</v>
      </c>
      <c r="O45" s="219"/>
      <c r="P45" s="220">
        <f>SUM(P17:P44)</f>
        <v>41035</v>
      </c>
      <c r="Q45" s="220">
        <f>SUM(Q17:Q44)</f>
        <v>37304.199999999997</v>
      </c>
      <c r="R45" s="221">
        <v>1.52E-2</v>
      </c>
      <c r="S45" s="219"/>
      <c r="T45" s="220">
        <f>SUM(T17:T44)</f>
        <v>41090</v>
      </c>
      <c r="U45" s="220">
        <f>SUM(U17:U44)</f>
        <v>29372.190000000002</v>
      </c>
      <c r="V45" s="221">
        <v>1.52E-2</v>
      </c>
      <c r="W45" s="219"/>
      <c r="X45" s="220">
        <f>SUM(X17:X44)</f>
        <v>41840</v>
      </c>
      <c r="Y45" s="220">
        <f>SUM(Y17:Y44)</f>
        <v>33806.35</v>
      </c>
      <c r="Z45" s="222">
        <f>(X45-T45)/T45</f>
        <v>1.8252616208323191E-2</v>
      </c>
      <c r="AA45" s="219"/>
      <c r="AB45" s="220">
        <f>SUM(AB17:AB44)</f>
        <v>46915</v>
      </c>
      <c r="AC45" s="220">
        <f>SUM(AC17:AC44)</f>
        <v>32942.630000000005</v>
      </c>
      <c r="AD45" s="221">
        <f>(AB45-X45)/X45</f>
        <v>0.12129541108986616</v>
      </c>
      <c r="AE45" s="219"/>
      <c r="AF45" s="220">
        <f>SUM(AF17:AF44)</f>
        <v>45215</v>
      </c>
      <c r="AG45" s="220">
        <f>SUM(AG17:AG44)</f>
        <v>45215</v>
      </c>
      <c r="AH45" s="220">
        <f>SUM(AH17:AH44)</f>
        <v>32308.59</v>
      </c>
      <c r="AI45" s="221">
        <f>(AG45-AB45)/AB45</f>
        <v>-3.6235745497175745E-2</v>
      </c>
      <c r="AJ45" s="221"/>
      <c r="AK45" s="401">
        <f>SUM(AK17:AK44)</f>
        <v>42715</v>
      </c>
      <c r="AL45" s="401">
        <f>SUM(AL17:AL44)</f>
        <v>16228.369999999999</v>
      </c>
      <c r="AM45" s="221">
        <f>(AK45-AG45)/AG45</f>
        <v>-5.529138560212319E-2</v>
      </c>
      <c r="AN45" s="219"/>
      <c r="AO45" s="223">
        <f>SUM(AO17:AO44)</f>
        <v>40815</v>
      </c>
      <c r="AP45" s="401">
        <f t="shared" si="3"/>
        <v>-1900</v>
      </c>
      <c r="AQ45" s="221">
        <f t="shared" si="4"/>
        <v>-4.4480861524054782E-2</v>
      </c>
      <c r="AR45" s="219"/>
    </row>
    <row r="46" spans="1:44" s="211" customFormat="1" x14ac:dyDescent="0.25">
      <c r="D46" s="112"/>
      <c r="E46" s="112"/>
      <c r="F46" s="216"/>
      <c r="G46" s="213"/>
      <c r="H46" s="112"/>
      <c r="I46" s="112"/>
      <c r="J46" s="216"/>
      <c r="K46" s="213"/>
      <c r="L46" s="112"/>
      <c r="M46" s="112"/>
      <c r="N46" s="216"/>
      <c r="O46" s="213"/>
      <c r="P46" s="112"/>
      <c r="Q46" s="112"/>
      <c r="R46" s="216"/>
      <c r="S46" s="213"/>
      <c r="T46" s="112"/>
      <c r="U46" s="112"/>
      <c r="V46" s="216"/>
      <c r="W46" s="213"/>
      <c r="X46" s="112"/>
      <c r="Y46" s="112"/>
      <c r="Z46" s="216"/>
      <c r="AA46" s="213"/>
      <c r="AB46" s="112"/>
      <c r="AC46" s="112"/>
      <c r="AD46" s="216"/>
      <c r="AE46" s="213"/>
      <c r="AF46" s="112"/>
      <c r="AG46" s="112"/>
      <c r="AH46" s="112"/>
      <c r="AI46" s="216"/>
      <c r="AJ46" s="216"/>
      <c r="AK46" s="112"/>
      <c r="AL46" s="112"/>
      <c r="AM46" s="396"/>
      <c r="AN46" s="397"/>
      <c r="AO46" s="212"/>
      <c r="AP46" s="112"/>
      <c r="AQ46" s="396"/>
    </row>
    <row r="47" spans="1:44" s="114" customFormat="1" ht="12.75" x14ac:dyDescent="0.2">
      <c r="A47" s="228"/>
      <c r="B47" s="228"/>
      <c r="C47" s="233" t="s">
        <v>280</v>
      </c>
      <c r="D47" s="230">
        <f>D14+D45</f>
        <v>241094</v>
      </c>
      <c r="E47" s="230">
        <f>E14+E45</f>
        <v>221135.28000000003</v>
      </c>
      <c r="F47" s="231">
        <v>2.64E-2</v>
      </c>
      <c r="G47" s="228"/>
      <c r="H47" s="230">
        <f>H14+H45</f>
        <v>236210</v>
      </c>
      <c r="I47" s="230">
        <f>I14+I45</f>
        <v>217801.82</v>
      </c>
      <c r="J47" s="231">
        <v>2.64E-2</v>
      </c>
      <c r="K47" s="228"/>
      <c r="L47" s="230">
        <f>L14+L45</f>
        <v>242454.74</v>
      </c>
      <c r="M47" s="230">
        <f>M14+M45</f>
        <v>203481.68000000002</v>
      </c>
      <c r="N47" s="231">
        <v>2.64E-2</v>
      </c>
      <c r="O47" s="228"/>
      <c r="P47" s="230">
        <f>P14+P45</f>
        <v>246453.58000000002</v>
      </c>
      <c r="Q47" s="230">
        <f>Q14+Q45</f>
        <v>211574.09000000003</v>
      </c>
      <c r="R47" s="231">
        <v>2.64E-2</v>
      </c>
      <c r="S47" s="228"/>
      <c r="T47" s="230">
        <f>T14+T45</f>
        <v>238944.84999999998</v>
      </c>
      <c r="U47" s="230">
        <f>U14+U45</f>
        <v>202562.77000000002</v>
      </c>
      <c r="V47" s="231">
        <v>2.64E-2</v>
      </c>
      <c r="W47" s="228"/>
      <c r="X47" s="230">
        <f>X14+X45</f>
        <v>230296.47</v>
      </c>
      <c r="Y47" s="230">
        <f>Y14+Y45</f>
        <v>240310.88000000003</v>
      </c>
      <c r="Z47" s="231">
        <f>(X47-T47)/T47</f>
        <v>-3.6194042265401308E-2</v>
      </c>
      <c r="AA47" s="228"/>
      <c r="AB47" s="230">
        <f>AB14+AB45</f>
        <v>249879.24000000002</v>
      </c>
      <c r="AC47" s="230">
        <f>AC14+AC45</f>
        <v>219952.86000000004</v>
      </c>
      <c r="AD47" s="231">
        <f>(AB47-X47)/X47</f>
        <v>8.5032870890292059E-2</v>
      </c>
      <c r="AE47" s="228"/>
      <c r="AF47" s="230">
        <f>AF14+AF45</f>
        <v>235260.02000000002</v>
      </c>
      <c r="AG47" s="378">
        <f>AG14+AG45</f>
        <v>237486.14</v>
      </c>
      <c r="AH47" s="230">
        <f>AH14+AH45</f>
        <v>220246.3</v>
      </c>
      <c r="AI47" s="231">
        <f>(AG47-AB47)/AB47</f>
        <v>-4.9596357024297037E-2</v>
      </c>
      <c r="AJ47" s="231"/>
      <c r="AK47" s="402">
        <f>AK14+AK45</f>
        <v>240305.16999999998</v>
      </c>
      <c r="AL47" s="402">
        <f>AL14+AL45</f>
        <v>169690.08</v>
      </c>
      <c r="AM47" s="231">
        <f>(AK47-AG47)/AG47</f>
        <v>1.1870292725293229E-2</v>
      </c>
      <c r="AN47" s="228"/>
      <c r="AO47" s="232">
        <f>AO14+AO45</f>
        <v>250992.01999999996</v>
      </c>
      <c r="AP47" s="402">
        <f t="shared" si="3"/>
        <v>10686.849999999977</v>
      </c>
      <c r="AQ47" s="231">
        <f t="shared" si="4"/>
        <v>4.4471993673710714E-2</v>
      </c>
      <c r="AR47" s="233"/>
    </row>
    <row r="48" spans="1:44" ht="12.75" customHeight="1" x14ac:dyDescent="0.25">
      <c r="D48" s="120"/>
      <c r="H48" s="120"/>
      <c r="L48" s="120"/>
      <c r="P48" s="120"/>
      <c r="T48" s="120"/>
      <c r="X48" s="120"/>
      <c r="AB48" s="120"/>
      <c r="AF48" s="120"/>
      <c r="AG48" s="120"/>
      <c r="AK48" s="403"/>
    </row>
    <row r="49" spans="1:53" s="111" customFormat="1" thickBot="1" x14ac:dyDescent="0.25">
      <c r="C49" s="111" t="s">
        <v>281</v>
      </c>
      <c r="D49" s="122"/>
      <c r="E49" s="121">
        <f>D47-E47</f>
        <v>19958.719999999972</v>
      </c>
      <c r="H49" s="122"/>
      <c r="I49" s="121">
        <f>H47-I47</f>
        <v>18408.179999999993</v>
      </c>
      <c r="L49" s="122"/>
      <c r="M49" s="121">
        <f>L47-M47</f>
        <v>38973.059999999969</v>
      </c>
      <c r="P49" s="122"/>
      <c r="Q49" s="121">
        <f>P47-Q47</f>
        <v>34879.489999999991</v>
      </c>
      <c r="T49" s="122"/>
      <c r="U49" s="121">
        <f>T47-U47</f>
        <v>36382.079999999958</v>
      </c>
      <c r="X49" s="122"/>
      <c r="Y49" s="121">
        <f>X47-Y47</f>
        <v>-10014.410000000033</v>
      </c>
      <c r="AB49" s="122"/>
      <c r="AC49" s="121">
        <f>AB47-AC47</f>
        <v>29926.379999999976</v>
      </c>
      <c r="AF49" s="122"/>
      <c r="AG49" s="122"/>
      <c r="AH49" s="121">
        <f>AG47-AH47</f>
        <v>17239.840000000026</v>
      </c>
      <c r="AK49" s="122"/>
      <c r="AL49" s="121">
        <f>AK47-AL47</f>
        <v>70615.09</v>
      </c>
    </row>
    <row r="50" spans="1:53" s="111" customFormat="1" ht="14.25" thickTop="1" x14ac:dyDescent="0.25">
      <c r="D50" s="122"/>
      <c r="E50" s="152"/>
      <c r="H50" s="122"/>
      <c r="I50" s="152"/>
      <c r="L50" s="122"/>
      <c r="M50" s="152"/>
      <c r="P50" s="122"/>
      <c r="Q50" s="152"/>
      <c r="T50" s="122"/>
      <c r="U50" s="152"/>
      <c r="X50" s="122"/>
      <c r="Y50" s="152"/>
      <c r="AB50" s="122"/>
      <c r="AC50" s="152"/>
      <c r="AF50" s="122"/>
      <c r="AG50" s="122"/>
      <c r="AH50" s="152"/>
      <c r="AK50" s="122"/>
      <c r="AL50" s="152"/>
      <c r="AO50" s="240" t="s">
        <v>1195</v>
      </c>
      <c r="AP50" s="241"/>
      <c r="AQ50" s="242"/>
    </row>
    <row r="51" spans="1:53" s="111" customFormat="1" x14ac:dyDescent="0.25">
      <c r="D51" s="122"/>
      <c r="E51" s="152"/>
      <c r="H51" s="122"/>
      <c r="I51" s="152"/>
      <c r="L51" s="122"/>
      <c r="M51" s="152"/>
      <c r="P51" s="122"/>
      <c r="Q51" s="152"/>
      <c r="T51" s="122"/>
      <c r="U51" s="152"/>
      <c r="X51" s="122"/>
      <c r="Y51" s="152"/>
      <c r="AB51" s="122"/>
      <c r="AC51" s="152"/>
      <c r="AF51" s="122"/>
      <c r="AG51" s="122"/>
      <c r="AH51" s="152"/>
      <c r="AK51" s="122"/>
      <c r="AL51" s="152"/>
      <c r="AO51" s="243" t="s">
        <v>313</v>
      </c>
      <c r="AP51" s="5"/>
      <c r="AQ51" s="299">
        <f>AO14*0.0145</f>
        <v>3047.5667899999994</v>
      </c>
    </row>
    <row r="52" spans="1:53" x14ac:dyDescent="0.25">
      <c r="D52" s="120"/>
      <c r="H52" s="120"/>
      <c r="L52" s="120"/>
      <c r="P52" s="120"/>
      <c r="T52" s="120"/>
      <c r="X52" s="120"/>
      <c r="AB52" s="120"/>
      <c r="AF52" s="120"/>
      <c r="AG52" s="120"/>
      <c r="AK52" s="403"/>
      <c r="AO52" s="210" t="s">
        <v>314</v>
      </c>
      <c r="AP52" s="5"/>
      <c r="AQ52" s="299">
        <f>AO14*0.0009</f>
        <v>189.15931799999996</v>
      </c>
      <c r="AR52" s="211"/>
      <c r="AS52" s="111"/>
      <c r="AT52" s="111"/>
      <c r="AU52" s="111"/>
      <c r="AV52" s="111"/>
      <c r="AW52" s="211"/>
      <c r="AX52" s="211"/>
      <c r="AY52" s="211"/>
      <c r="AZ52" s="211"/>
      <c r="BA52" s="211"/>
    </row>
    <row r="53" spans="1:53" x14ac:dyDescent="0.25">
      <c r="A53" s="135"/>
      <c r="C53" s="136"/>
      <c r="AO53" s="210" t="s">
        <v>315</v>
      </c>
      <c r="AP53" s="5"/>
      <c r="AQ53" s="299">
        <f>AO14*0.003</f>
        <v>630.53105999999991</v>
      </c>
      <c r="AR53" s="211"/>
      <c r="AS53" s="211"/>
      <c r="AT53" s="211"/>
      <c r="AU53" s="211"/>
      <c r="AV53" s="211"/>
      <c r="AW53" s="211"/>
      <c r="AX53" s="211"/>
      <c r="AY53" s="211"/>
      <c r="AZ53" s="211"/>
      <c r="BA53" s="211"/>
    </row>
    <row r="54" spans="1:53" ht="13.5" customHeight="1" x14ac:dyDescent="0.25">
      <c r="A54" s="135"/>
      <c r="C54" s="211"/>
      <c r="D54" s="245"/>
      <c r="E54" s="245"/>
      <c r="F54" s="216"/>
      <c r="G54" s="213"/>
      <c r="H54" s="245"/>
      <c r="I54" s="245"/>
      <c r="J54" s="216"/>
      <c r="K54" s="213"/>
      <c r="L54" s="245"/>
      <c r="M54" s="245"/>
      <c r="N54" s="216"/>
      <c r="O54" s="213"/>
      <c r="P54" s="245"/>
      <c r="Q54" s="245"/>
      <c r="R54" s="216"/>
      <c r="S54" s="213"/>
      <c r="T54" s="245"/>
      <c r="U54" s="245"/>
      <c r="V54" s="216"/>
      <c r="W54" s="213"/>
      <c r="X54" s="245"/>
      <c r="Y54" s="245"/>
      <c r="Z54" s="216"/>
      <c r="AA54" s="213"/>
      <c r="AB54" s="245"/>
      <c r="AC54" s="245"/>
      <c r="AD54" s="216"/>
      <c r="AE54" s="213"/>
      <c r="AF54" s="245"/>
      <c r="AG54" s="245"/>
      <c r="AH54" s="245"/>
      <c r="AI54" s="216"/>
      <c r="AK54" s="398"/>
      <c r="AL54" s="398"/>
      <c r="AM54" s="396"/>
      <c r="AN54" s="397"/>
      <c r="AO54" s="210" t="s">
        <v>316</v>
      </c>
      <c r="AP54" s="5"/>
      <c r="AQ54" s="299">
        <f>'County Retirement'!G29</f>
        <v>4200.8094367690755</v>
      </c>
      <c r="AR54" s="211"/>
      <c r="AS54" s="213"/>
      <c r="AT54" s="213"/>
      <c r="AU54" s="213"/>
      <c r="AV54" s="213"/>
      <c r="AW54" s="211"/>
      <c r="AX54" s="211"/>
      <c r="AY54" s="211"/>
      <c r="AZ54" s="211"/>
      <c r="BA54" s="211"/>
    </row>
    <row r="55" spans="1:53" s="211" customFormat="1" x14ac:dyDescent="0.25">
      <c r="A55" s="135"/>
      <c r="D55" s="245"/>
      <c r="E55" s="245"/>
      <c r="F55" s="216"/>
      <c r="G55" s="213"/>
      <c r="H55" s="245"/>
      <c r="I55" s="245"/>
      <c r="J55" s="216"/>
      <c r="K55" s="213"/>
      <c r="L55" s="245"/>
      <c r="M55" s="245"/>
      <c r="N55" s="216"/>
      <c r="O55" s="213"/>
      <c r="P55" s="245"/>
      <c r="Q55" s="245"/>
      <c r="R55" s="216"/>
      <c r="S55" s="213"/>
      <c r="T55" s="245"/>
      <c r="U55" s="245"/>
      <c r="V55" s="216"/>
      <c r="W55" s="213"/>
      <c r="X55" s="245"/>
      <c r="Y55" s="245"/>
      <c r="Z55" s="216"/>
      <c r="AA55" s="213"/>
      <c r="AB55" s="245"/>
      <c r="AC55" s="245"/>
      <c r="AD55" s="216"/>
      <c r="AE55" s="213"/>
      <c r="AF55" s="245"/>
      <c r="AG55" s="245"/>
      <c r="AH55" s="245"/>
      <c r="AI55" s="216"/>
      <c r="AK55" s="398"/>
      <c r="AL55" s="398"/>
      <c r="AM55" s="396"/>
      <c r="AN55" s="397"/>
      <c r="AO55" s="210" t="s">
        <v>317</v>
      </c>
      <c r="AP55" s="5"/>
      <c r="AQ55" s="300" t="s">
        <v>1093</v>
      </c>
    </row>
    <row r="56" spans="1:53" x14ac:dyDescent="0.25">
      <c r="A56" s="135"/>
      <c r="C56" s="211"/>
      <c r="D56" s="245"/>
      <c r="E56" s="245"/>
      <c r="F56" s="216"/>
      <c r="G56" s="213"/>
      <c r="H56" s="245"/>
      <c r="I56" s="245"/>
      <c r="J56" s="216"/>
      <c r="K56" s="213"/>
      <c r="L56" s="245"/>
      <c r="M56" s="245"/>
      <c r="N56" s="216"/>
      <c r="O56" s="213"/>
      <c r="P56" s="245"/>
      <c r="Q56" s="245"/>
      <c r="R56" s="216"/>
      <c r="S56" s="213"/>
      <c r="T56" s="245"/>
      <c r="U56" s="245"/>
      <c r="V56" s="216"/>
      <c r="W56" s="213"/>
      <c r="X56" s="245"/>
      <c r="Y56" s="245"/>
      <c r="Z56" s="216"/>
      <c r="AA56" s="213"/>
      <c r="AB56" s="245"/>
      <c r="AC56" s="245"/>
      <c r="AD56" s="216"/>
      <c r="AE56" s="213"/>
      <c r="AF56" s="245"/>
      <c r="AG56" s="245"/>
      <c r="AH56" s="245"/>
      <c r="AI56" s="216"/>
      <c r="AK56" s="398"/>
      <c r="AL56" s="398"/>
      <c r="AM56" s="396"/>
      <c r="AN56" s="397"/>
      <c r="AO56" s="235"/>
      <c r="AP56" s="237"/>
      <c r="AQ56" s="301">
        <f>SUM(AQ51:AQ55)</f>
        <v>8068.0666047690747</v>
      </c>
      <c r="AR56" s="211"/>
      <c r="AS56" s="211"/>
      <c r="AT56" s="211"/>
      <c r="AU56" s="211"/>
      <c r="AV56" s="211"/>
      <c r="AW56" s="211"/>
      <c r="AX56" s="211"/>
      <c r="AY56" s="211"/>
      <c r="AZ56" s="211"/>
      <c r="BA56" s="211"/>
    </row>
    <row r="57" spans="1:53" s="211" customFormat="1" x14ac:dyDescent="0.25">
      <c r="A57" s="135"/>
      <c r="D57" s="245"/>
      <c r="E57" s="245"/>
      <c r="F57" s="216"/>
      <c r="G57" s="213"/>
      <c r="H57" s="245"/>
      <c r="I57" s="245"/>
      <c r="J57" s="216"/>
      <c r="K57" s="213"/>
      <c r="L57" s="245"/>
      <c r="M57" s="245"/>
      <c r="N57" s="216"/>
      <c r="O57" s="213"/>
      <c r="P57" s="245"/>
      <c r="Q57" s="245"/>
      <c r="R57" s="216"/>
      <c r="S57" s="213"/>
      <c r="T57" s="245"/>
      <c r="U57" s="245"/>
      <c r="V57" s="216"/>
      <c r="W57" s="213"/>
      <c r="X57" s="245"/>
      <c r="Y57" s="245"/>
      <c r="Z57" s="216"/>
      <c r="AA57" s="213"/>
      <c r="AB57" s="245"/>
      <c r="AC57" s="245"/>
      <c r="AD57" s="216"/>
      <c r="AE57" s="213"/>
      <c r="AF57" s="245"/>
      <c r="AG57" s="245"/>
      <c r="AH57" s="245"/>
      <c r="AI57" s="216"/>
      <c r="AK57" s="398"/>
      <c r="AL57" s="398"/>
      <c r="AM57" s="396"/>
      <c r="AN57" s="397"/>
      <c r="AO57" s="161"/>
      <c r="AP57" s="161"/>
      <c r="AQ57" s="161"/>
    </row>
    <row r="58" spans="1:53" s="211" customFormat="1" x14ac:dyDescent="0.25">
      <c r="A58" s="135"/>
      <c r="D58" s="245"/>
      <c r="E58" s="245"/>
      <c r="F58" s="216"/>
      <c r="G58" s="213"/>
      <c r="H58" s="245"/>
      <c r="I58" s="245"/>
      <c r="J58" s="216"/>
      <c r="K58" s="213"/>
      <c r="L58" s="245"/>
      <c r="M58" s="245"/>
      <c r="N58" s="216"/>
      <c r="O58" s="213"/>
      <c r="P58" s="245"/>
      <c r="Q58" s="245"/>
      <c r="R58" s="216"/>
      <c r="S58" s="213"/>
      <c r="T58" s="245"/>
      <c r="U58" s="245"/>
      <c r="V58" s="216"/>
      <c r="W58" s="213"/>
      <c r="X58" s="245"/>
      <c r="Y58" s="245"/>
      <c r="Z58" s="216"/>
      <c r="AA58" s="213"/>
      <c r="AB58" s="245"/>
      <c r="AC58" s="245"/>
      <c r="AD58" s="216"/>
      <c r="AE58" s="213"/>
      <c r="AF58" s="245"/>
      <c r="AG58" s="245"/>
      <c r="AH58" s="245"/>
      <c r="AI58" s="216"/>
      <c r="AK58" s="398"/>
      <c r="AL58" s="398"/>
      <c r="AM58" s="396"/>
      <c r="AN58" s="397"/>
      <c r="AO58" s="412">
        <f>-SUM(AO8:AO12)</f>
        <v>-175829.41999999995</v>
      </c>
      <c r="AP58" s="394" t="s">
        <v>1448</v>
      </c>
      <c r="AQ58" s="161"/>
    </row>
    <row r="59" spans="1:53" x14ac:dyDescent="0.25">
      <c r="A59" s="135"/>
      <c r="C59" s="211"/>
      <c r="D59" s="245"/>
      <c r="E59" s="245"/>
      <c r="F59" s="216"/>
      <c r="G59" s="213"/>
      <c r="H59" s="245"/>
      <c r="I59" s="245"/>
      <c r="J59" s="216"/>
      <c r="K59" s="213"/>
      <c r="L59" s="245"/>
      <c r="M59" s="245"/>
      <c r="N59" s="216"/>
      <c r="O59" s="213"/>
      <c r="P59" s="245"/>
      <c r="Q59" s="245"/>
      <c r="R59" s="216"/>
      <c r="S59" s="213"/>
      <c r="T59" s="245"/>
      <c r="U59" s="245"/>
      <c r="V59" s="216"/>
      <c r="W59" s="213"/>
      <c r="X59" s="245"/>
      <c r="Y59" s="245"/>
      <c r="Z59" s="216"/>
      <c r="AA59" s="213"/>
      <c r="AB59" s="245"/>
      <c r="AC59" s="245"/>
      <c r="AD59" s="216"/>
      <c r="AE59" s="213"/>
      <c r="AF59" s="245"/>
      <c r="AG59" s="245"/>
      <c r="AH59" s="245"/>
      <c r="AI59" s="216"/>
      <c r="AK59" s="398"/>
      <c r="AL59" s="398"/>
      <c r="AM59" s="396"/>
      <c r="AN59" s="397"/>
      <c r="AR59" s="211"/>
      <c r="AS59" s="147"/>
      <c r="AT59" s="147"/>
      <c r="AU59" s="147"/>
      <c r="AV59" s="147"/>
      <c r="AW59" s="211"/>
      <c r="AX59" s="211"/>
      <c r="AY59" s="211"/>
      <c r="AZ59" s="211"/>
      <c r="BA59" s="211"/>
    </row>
    <row r="60" spans="1:53" x14ac:dyDescent="0.25">
      <c r="A60" s="135"/>
      <c r="C60" s="211"/>
      <c r="D60" s="245"/>
      <c r="E60" s="245"/>
      <c r="F60" s="216"/>
      <c r="G60" s="213"/>
      <c r="H60" s="245"/>
      <c r="I60" s="245"/>
      <c r="J60" s="216"/>
      <c r="K60" s="213"/>
      <c r="L60" s="245"/>
      <c r="M60" s="245"/>
      <c r="N60" s="216"/>
      <c r="O60" s="213"/>
      <c r="P60" s="245"/>
      <c r="Q60" s="245"/>
      <c r="R60" s="216"/>
      <c r="S60" s="213"/>
      <c r="T60" s="245"/>
      <c r="U60" s="245"/>
      <c r="V60" s="216"/>
      <c r="W60" s="213"/>
      <c r="X60" s="245"/>
      <c r="Y60" s="245"/>
      <c r="Z60" s="216"/>
      <c r="AA60" s="213"/>
      <c r="AB60" s="245"/>
      <c r="AC60" s="245"/>
      <c r="AD60" s="216"/>
      <c r="AE60" s="213"/>
      <c r="AF60" s="245"/>
      <c r="AG60" s="245"/>
      <c r="AH60" s="245"/>
      <c r="AI60" s="216"/>
      <c r="AK60" s="398"/>
      <c r="AL60" s="398"/>
      <c r="AM60" s="396"/>
      <c r="AN60" s="397"/>
      <c r="AR60" s="211"/>
      <c r="AS60" s="114"/>
      <c r="AT60" s="114"/>
      <c r="AU60" s="114"/>
      <c r="AV60" s="114"/>
      <c r="AW60" s="211"/>
      <c r="AX60" s="211"/>
      <c r="AY60" s="211"/>
      <c r="AZ60" s="211"/>
      <c r="BA60" s="211"/>
    </row>
    <row r="61" spans="1:53" x14ac:dyDescent="0.25">
      <c r="A61" s="135"/>
      <c r="C61" s="211"/>
      <c r="D61" s="245"/>
      <c r="E61" s="245"/>
      <c r="F61" s="216"/>
      <c r="G61" s="213"/>
      <c r="H61" s="245"/>
      <c r="I61" s="245"/>
      <c r="J61" s="216"/>
      <c r="K61" s="213"/>
      <c r="L61" s="245"/>
      <c r="M61" s="245"/>
      <c r="N61" s="216"/>
      <c r="O61" s="213"/>
      <c r="P61" s="245"/>
      <c r="Q61" s="245"/>
      <c r="R61" s="216"/>
      <c r="S61" s="213"/>
      <c r="T61" s="245"/>
      <c r="U61" s="245"/>
      <c r="V61" s="216"/>
      <c r="W61" s="213"/>
      <c r="X61" s="245"/>
      <c r="Y61" s="245"/>
      <c r="Z61" s="216"/>
      <c r="AA61" s="213"/>
      <c r="AB61" s="245"/>
      <c r="AC61" s="245"/>
      <c r="AD61" s="216"/>
      <c r="AE61" s="213"/>
      <c r="AF61" s="245"/>
      <c r="AG61" s="245"/>
      <c r="AH61" s="245"/>
      <c r="AI61" s="216"/>
      <c r="AK61" s="398"/>
      <c r="AL61" s="398"/>
      <c r="AM61" s="396"/>
      <c r="AN61" s="397"/>
      <c r="AO61" s="212"/>
      <c r="AP61" s="212"/>
      <c r="AQ61" s="211"/>
      <c r="AR61" s="211"/>
      <c r="AS61" s="211"/>
      <c r="AT61" s="211"/>
      <c r="AU61" s="211"/>
      <c r="AV61" s="211"/>
      <c r="AW61" s="211"/>
      <c r="AX61" s="211"/>
      <c r="AY61" s="211"/>
      <c r="AZ61" s="211"/>
      <c r="BA61" s="211"/>
    </row>
    <row r="62" spans="1:53" x14ac:dyDescent="0.25">
      <c r="C62" s="114"/>
      <c r="D62" s="115"/>
      <c r="E62" s="115"/>
      <c r="F62" s="117"/>
      <c r="G62" s="118"/>
      <c r="H62" s="115"/>
      <c r="I62" s="115"/>
      <c r="J62" s="117"/>
      <c r="K62" s="118"/>
      <c r="L62" s="115"/>
      <c r="M62" s="115"/>
      <c r="N62" s="117"/>
      <c r="O62" s="118"/>
      <c r="P62" s="115"/>
      <c r="Q62" s="115"/>
      <c r="R62" s="117"/>
      <c r="S62" s="118"/>
      <c r="T62" s="115"/>
      <c r="U62" s="115"/>
      <c r="V62" s="117"/>
      <c r="W62" s="118"/>
      <c r="X62" s="115"/>
      <c r="Y62" s="115"/>
      <c r="Z62" s="115"/>
      <c r="AB62" s="115"/>
      <c r="AC62" s="115"/>
      <c r="AD62" s="115"/>
      <c r="AF62" s="115"/>
      <c r="AG62" s="115"/>
      <c r="AH62" s="115"/>
      <c r="AI62" s="115"/>
      <c r="AJ62" s="116"/>
      <c r="AK62" s="115"/>
      <c r="AL62" s="115"/>
      <c r="AM62" s="115"/>
      <c r="AO62" s="131"/>
      <c r="AP62" s="131"/>
      <c r="AQ62" s="5"/>
      <c r="AR62" s="211"/>
      <c r="AS62" s="211"/>
      <c r="AT62" s="211"/>
      <c r="AU62" s="211"/>
      <c r="AV62" s="211"/>
      <c r="AW62" s="211"/>
      <c r="AX62" s="211"/>
      <c r="AY62" s="211"/>
      <c r="AZ62" s="211"/>
      <c r="BA62" s="211"/>
    </row>
    <row r="63" spans="1:53" x14ac:dyDescent="0.25">
      <c r="D63" s="120"/>
      <c r="H63" s="120"/>
      <c r="L63" s="120"/>
      <c r="P63" s="120"/>
      <c r="T63" s="120"/>
      <c r="X63" s="120"/>
      <c r="AB63" s="120"/>
      <c r="AF63" s="120"/>
      <c r="AG63" s="120"/>
      <c r="AK63" s="403"/>
      <c r="AO63" s="268"/>
      <c r="AP63" s="5"/>
      <c r="AQ63" s="269"/>
      <c r="AR63" s="211"/>
      <c r="AS63" s="211"/>
      <c r="AT63" s="211"/>
      <c r="AU63" s="211"/>
      <c r="AV63" s="211"/>
      <c r="AW63" s="211"/>
      <c r="AX63" s="211"/>
      <c r="AY63" s="211"/>
      <c r="AZ63" s="211"/>
      <c r="BA63" s="211"/>
    </row>
    <row r="64" spans="1:53" x14ac:dyDescent="0.25">
      <c r="D64" s="120"/>
      <c r="H64" s="120"/>
      <c r="L64" s="120"/>
      <c r="P64" s="120"/>
      <c r="T64" s="120"/>
      <c r="X64" s="120"/>
      <c r="AB64" s="120"/>
      <c r="AF64" s="120"/>
      <c r="AG64" s="120"/>
      <c r="AK64" s="403"/>
      <c r="AO64" s="131"/>
      <c r="AP64" s="131"/>
      <c r="AQ64" s="5"/>
      <c r="AR64" s="211"/>
      <c r="AS64" s="211"/>
      <c r="AT64" s="211"/>
      <c r="AU64" s="211"/>
      <c r="AV64" s="211"/>
      <c r="AW64" s="211"/>
      <c r="AX64" s="211"/>
      <c r="AY64" s="211"/>
      <c r="AZ64" s="211"/>
      <c r="BA64" s="211"/>
    </row>
    <row r="65" spans="4:53" x14ac:dyDescent="0.25">
      <c r="D65" s="120"/>
      <c r="H65" s="120"/>
      <c r="L65" s="120"/>
      <c r="P65" s="120"/>
      <c r="T65" s="120"/>
      <c r="X65" s="120"/>
      <c r="AB65" s="120"/>
      <c r="AF65" s="120"/>
      <c r="AG65" s="120"/>
      <c r="AK65" s="403"/>
      <c r="AO65" s="212"/>
      <c r="AP65" s="212"/>
      <c r="AQ65" s="211"/>
      <c r="AR65" s="211"/>
      <c r="AS65" s="211"/>
      <c r="AT65" s="211"/>
      <c r="AU65" s="211"/>
      <c r="AV65" s="211"/>
      <c r="AW65" s="211"/>
      <c r="AX65" s="211"/>
      <c r="AY65" s="211"/>
      <c r="AZ65" s="211"/>
      <c r="BA65" s="211"/>
    </row>
    <row r="66" spans="4:53" x14ac:dyDescent="0.25">
      <c r="D66" s="120"/>
      <c r="H66" s="120"/>
      <c r="L66" s="120"/>
      <c r="P66" s="120"/>
      <c r="T66" s="120"/>
      <c r="X66" s="120"/>
      <c r="AB66" s="120"/>
      <c r="AF66" s="120"/>
      <c r="AG66" s="120"/>
      <c r="AK66" s="403"/>
      <c r="AO66" s="212"/>
      <c r="AP66" s="212"/>
      <c r="AQ66" s="211"/>
      <c r="AR66" s="211"/>
      <c r="AS66" s="211"/>
      <c r="AT66" s="211"/>
      <c r="AU66" s="211"/>
      <c r="AV66" s="211"/>
      <c r="AW66" s="211"/>
      <c r="AX66" s="211"/>
      <c r="AY66" s="211"/>
      <c r="AZ66" s="211"/>
      <c r="BA66" s="211"/>
    </row>
    <row r="67" spans="4:53" x14ac:dyDescent="0.25">
      <c r="D67" s="120"/>
      <c r="H67" s="120"/>
      <c r="L67" s="120"/>
      <c r="P67" s="120"/>
      <c r="T67" s="120"/>
      <c r="X67" s="120"/>
      <c r="AB67" s="120"/>
      <c r="AF67" s="120"/>
      <c r="AG67" s="120"/>
      <c r="AK67" s="403"/>
      <c r="AO67" s="212"/>
      <c r="AP67" s="212"/>
      <c r="AQ67" s="211"/>
      <c r="AR67" s="211"/>
      <c r="AS67" s="211"/>
      <c r="AT67" s="211"/>
      <c r="AU67" s="211"/>
      <c r="AV67" s="211"/>
      <c r="AW67" s="211"/>
      <c r="AX67" s="211"/>
      <c r="AY67" s="211"/>
      <c r="AZ67" s="211"/>
      <c r="BA67" s="211"/>
    </row>
    <row r="68" spans="4:53" x14ac:dyDescent="0.25">
      <c r="D68" s="120"/>
      <c r="H68" s="120"/>
      <c r="L68" s="120"/>
      <c r="P68" s="120"/>
      <c r="T68" s="120"/>
      <c r="X68" s="120"/>
      <c r="AB68" s="120"/>
      <c r="AF68" s="120"/>
      <c r="AG68" s="120"/>
      <c r="AK68" s="403"/>
      <c r="AO68" s="212"/>
      <c r="AP68" s="212"/>
      <c r="AQ68" s="211"/>
      <c r="AR68" s="211"/>
      <c r="AS68" s="211"/>
      <c r="AT68" s="211"/>
      <c r="AU68" s="211"/>
      <c r="AV68" s="211"/>
      <c r="AW68" s="211"/>
      <c r="AX68" s="211"/>
      <c r="AY68" s="211"/>
      <c r="AZ68" s="211"/>
      <c r="BA68" s="211"/>
    </row>
    <row r="69" spans="4:53" x14ac:dyDescent="0.25">
      <c r="D69" s="120"/>
      <c r="H69" s="120"/>
      <c r="L69" s="120"/>
      <c r="P69" s="120"/>
      <c r="T69" s="120"/>
      <c r="X69" s="120"/>
      <c r="AB69" s="120"/>
      <c r="AF69" s="120"/>
      <c r="AG69" s="120"/>
      <c r="AK69" s="403"/>
    </row>
    <row r="70" spans="4:53" x14ac:dyDescent="0.25">
      <c r="D70" s="120"/>
      <c r="H70" s="120"/>
      <c r="L70" s="120"/>
      <c r="P70" s="120"/>
      <c r="T70" s="120"/>
      <c r="X70" s="120"/>
      <c r="AB70" s="120"/>
      <c r="AF70" s="120"/>
      <c r="AG70" s="120"/>
      <c r="AK70" s="403"/>
    </row>
    <row r="71" spans="4:53" x14ac:dyDescent="0.25">
      <c r="D71" s="120"/>
      <c r="H71" s="120"/>
      <c r="L71" s="120"/>
      <c r="P71" s="120"/>
      <c r="T71" s="120"/>
      <c r="X71" s="120"/>
      <c r="AB71" s="120"/>
      <c r="AF71" s="120"/>
      <c r="AG71" s="120"/>
      <c r="AK71" s="403"/>
    </row>
    <row r="72" spans="4:53" x14ac:dyDescent="0.25">
      <c r="D72" s="120"/>
      <c r="H72" s="120"/>
      <c r="L72" s="120"/>
      <c r="P72" s="120"/>
      <c r="T72" s="120"/>
      <c r="X72" s="120"/>
      <c r="AB72" s="120"/>
      <c r="AF72" s="120"/>
      <c r="AG72" s="120"/>
      <c r="AK72" s="403"/>
    </row>
    <row r="73" spans="4:53" x14ac:dyDescent="0.25">
      <c r="D73" s="120"/>
      <c r="H73" s="120"/>
      <c r="L73" s="120"/>
      <c r="P73" s="120"/>
      <c r="T73" s="120"/>
      <c r="X73" s="120"/>
      <c r="AB73" s="120"/>
      <c r="AF73" s="120"/>
      <c r="AG73" s="120"/>
      <c r="AK73" s="403"/>
    </row>
    <row r="74" spans="4:53" x14ac:dyDescent="0.25">
      <c r="D74" s="120"/>
      <c r="H74" s="120"/>
      <c r="L74" s="120"/>
      <c r="P74" s="120"/>
      <c r="T74" s="120"/>
      <c r="X74" s="120"/>
      <c r="AB74" s="120"/>
      <c r="AF74" s="120"/>
      <c r="AG74" s="120"/>
      <c r="AK74" s="403"/>
    </row>
    <row r="75" spans="4:53" x14ac:dyDescent="0.25">
      <c r="D75" s="120"/>
      <c r="H75" s="120"/>
      <c r="L75" s="120"/>
      <c r="P75" s="120"/>
      <c r="T75" s="120"/>
      <c r="X75" s="120"/>
      <c r="AB75" s="120"/>
      <c r="AF75" s="120"/>
      <c r="AG75" s="120"/>
      <c r="AK75" s="403"/>
    </row>
    <row r="76" spans="4:53" x14ac:dyDescent="0.25">
      <c r="D76" s="120"/>
      <c r="H76" s="120"/>
      <c r="L76" s="120"/>
      <c r="P76" s="120"/>
      <c r="T76" s="120"/>
      <c r="X76" s="120"/>
      <c r="AB76" s="120"/>
      <c r="AF76" s="120"/>
      <c r="AG76" s="120"/>
      <c r="AK76" s="403"/>
    </row>
    <row r="77" spans="4:53" x14ac:dyDescent="0.25">
      <c r="D77" s="120"/>
      <c r="H77" s="120"/>
      <c r="L77" s="120"/>
      <c r="P77" s="120"/>
      <c r="T77" s="120"/>
      <c r="X77" s="120"/>
      <c r="AB77" s="120"/>
      <c r="AF77" s="120"/>
      <c r="AG77" s="120"/>
      <c r="AK77" s="403"/>
    </row>
    <row r="78" spans="4:53" x14ac:dyDescent="0.25">
      <c r="D78" s="120"/>
      <c r="H78" s="120"/>
      <c r="L78" s="120"/>
      <c r="P78" s="120"/>
      <c r="T78" s="120"/>
      <c r="X78" s="120"/>
      <c r="AB78" s="120"/>
      <c r="AF78" s="120"/>
      <c r="AG78" s="120"/>
      <c r="AK78" s="403"/>
    </row>
    <row r="79" spans="4:53" x14ac:dyDescent="0.25">
      <c r="D79" s="120"/>
      <c r="H79" s="120"/>
      <c r="L79" s="120"/>
      <c r="P79" s="120"/>
      <c r="T79" s="120"/>
      <c r="X79" s="120"/>
      <c r="AB79" s="120"/>
      <c r="AF79" s="120"/>
      <c r="AG79" s="120"/>
      <c r="AK79" s="403"/>
    </row>
    <row r="80" spans="4:53"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4"/>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row r="383" spans="4:37" x14ac:dyDescent="0.25">
      <c r="D383" s="120"/>
      <c r="H383" s="120"/>
      <c r="L383" s="120"/>
      <c r="P383" s="120"/>
      <c r="T383" s="120"/>
      <c r="X383" s="120"/>
      <c r="AB383" s="120"/>
      <c r="AF383" s="120"/>
      <c r="AG383" s="120"/>
      <c r="AK383" s="403"/>
    </row>
    <row r="384" spans="4:37" x14ac:dyDescent="0.25">
      <c r="D384" s="120"/>
      <c r="H384" s="120"/>
      <c r="L384" s="120"/>
      <c r="P384" s="120"/>
      <c r="T384" s="120"/>
      <c r="X384" s="120"/>
      <c r="AB384" s="120"/>
      <c r="AF384" s="120"/>
      <c r="AG384" s="120"/>
      <c r="AK384" s="403"/>
    </row>
    <row r="385" spans="4:37" x14ac:dyDescent="0.25">
      <c r="D385" s="120"/>
      <c r="H385" s="120"/>
      <c r="L385" s="120"/>
      <c r="P385" s="120"/>
      <c r="T385" s="120"/>
      <c r="X385" s="120"/>
      <c r="AB385" s="120"/>
      <c r="AF385" s="120"/>
      <c r="AG385" s="120"/>
      <c r="AK385" s="403"/>
    </row>
    <row r="386" spans="4:37" x14ac:dyDescent="0.25">
      <c r="D386" s="120"/>
      <c r="H386" s="120"/>
      <c r="L386" s="120"/>
      <c r="P386" s="120"/>
      <c r="T386" s="120"/>
      <c r="X386" s="120"/>
      <c r="AB386" s="120"/>
      <c r="AF386" s="120"/>
      <c r="AG386" s="120"/>
      <c r="AK386" s="403"/>
    </row>
    <row r="387" spans="4:37" x14ac:dyDescent="0.25">
      <c r="D387" s="120"/>
      <c r="H387" s="120"/>
      <c r="L387" s="120"/>
      <c r="P387" s="120"/>
      <c r="T387" s="120"/>
      <c r="X387" s="120"/>
      <c r="AB387" s="120"/>
      <c r="AF387" s="120"/>
      <c r="AG387" s="120"/>
      <c r="AK387" s="403"/>
    </row>
    <row r="388" spans="4:37" x14ac:dyDescent="0.25">
      <c r="D388" s="120"/>
      <c r="H388" s="120"/>
      <c r="L388" s="120"/>
      <c r="P388" s="120"/>
      <c r="T388" s="120"/>
      <c r="X388" s="120"/>
      <c r="AB388" s="120"/>
      <c r="AF388" s="120"/>
      <c r="AG388" s="120"/>
      <c r="AK388" s="403"/>
    </row>
    <row r="389" spans="4:37" x14ac:dyDescent="0.25">
      <c r="D389" s="120"/>
      <c r="H389" s="120"/>
      <c r="L389" s="120"/>
      <c r="P389" s="120"/>
      <c r="T389" s="120"/>
      <c r="X389" s="120"/>
      <c r="AB389" s="120"/>
      <c r="AF389" s="120"/>
      <c r="AG389" s="120"/>
      <c r="AK389" s="403"/>
    </row>
    <row r="390" spans="4:37" x14ac:dyDescent="0.25">
      <c r="D390" s="120"/>
      <c r="H390" s="120"/>
      <c r="L390" s="120"/>
      <c r="P390" s="120"/>
      <c r="T390" s="120"/>
      <c r="X390" s="120"/>
      <c r="AB390" s="120"/>
      <c r="AF390" s="120"/>
      <c r="AG390" s="120"/>
      <c r="AK390" s="403"/>
    </row>
    <row r="391" spans="4:37" x14ac:dyDescent="0.25">
      <c r="D391" s="120"/>
      <c r="H391" s="120"/>
      <c r="L391" s="120"/>
      <c r="P391" s="120"/>
      <c r="T391" s="120"/>
      <c r="X391" s="120"/>
      <c r="AB391" s="120"/>
      <c r="AF391" s="120"/>
      <c r="AG391" s="120"/>
      <c r="AK391" s="403"/>
    </row>
    <row r="392" spans="4:37" x14ac:dyDescent="0.25">
      <c r="D392" s="120"/>
      <c r="H392" s="120"/>
      <c r="L392" s="120"/>
      <c r="P392" s="120"/>
      <c r="T392" s="120"/>
      <c r="X392" s="120"/>
      <c r="AB392" s="120"/>
      <c r="AF392" s="120"/>
      <c r="AG392" s="120"/>
      <c r="AK392" s="403"/>
    </row>
    <row r="393" spans="4:37" x14ac:dyDescent="0.25">
      <c r="D393" s="120"/>
      <c r="H393" s="120"/>
      <c r="L393" s="120"/>
      <c r="P393" s="120"/>
      <c r="T393" s="120"/>
      <c r="X393" s="120"/>
      <c r="AB393" s="120"/>
      <c r="AF393" s="120"/>
      <c r="AG393" s="120"/>
      <c r="AK393" s="403"/>
    </row>
    <row r="394" spans="4:37" x14ac:dyDescent="0.25">
      <c r="D394" s="120"/>
      <c r="H394" s="120"/>
      <c r="L394" s="120"/>
      <c r="P394" s="120"/>
      <c r="T394" s="120"/>
      <c r="X394" s="120"/>
      <c r="AB394" s="120"/>
      <c r="AF394" s="120"/>
      <c r="AG394" s="120"/>
      <c r="AK394" s="403"/>
    </row>
    <row r="395" spans="4:37" x14ac:dyDescent="0.25">
      <c r="D395" s="120"/>
      <c r="H395" s="120"/>
      <c r="L395" s="120"/>
      <c r="P395" s="120"/>
      <c r="T395" s="120"/>
      <c r="X395" s="120"/>
      <c r="AB395" s="120"/>
      <c r="AF395" s="120"/>
      <c r="AG395" s="120"/>
      <c r="AK395" s="403"/>
    </row>
    <row r="396" spans="4:37" x14ac:dyDescent="0.25">
      <c r="D396" s="120"/>
      <c r="H396" s="120"/>
      <c r="L396" s="120"/>
      <c r="P396" s="120"/>
      <c r="T396" s="120"/>
      <c r="X396" s="120"/>
      <c r="AB396" s="120"/>
      <c r="AF396" s="120"/>
      <c r="AG396" s="120"/>
      <c r="AK396" s="403"/>
    </row>
    <row r="397" spans="4:37" x14ac:dyDescent="0.25">
      <c r="D397" s="120"/>
      <c r="H397" s="120"/>
      <c r="L397" s="120"/>
      <c r="P397" s="120"/>
      <c r="T397" s="120"/>
      <c r="X397" s="120"/>
      <c r="AB397" s="120"/>
      <c r="AF397" s="120"/>
      <c r="AG397" s="120"/>
      <c r="AK397"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0" fitToHeight="2" orientation="landscape" r:id="rId1"/>
  <headerFooter alignWithMargins="0">
    <oddHeader>&amp;C&amp;"-,Bold"Proposed Budget &amp; Analysis Report for FY20</oddHeader>
    <oddFooter>&amp;C&amp;D&amp;T&amp;R&amp;A</oddFooter>
  </headerFooter>
  <rowBreaks count="1" manualBreakCount="1">
    <brk id="49" min="1" max="4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BB366"/>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1.5703125" style="161" customWidth="1"/>
    <col min="4" max="4" width="13.28515625" style="211" hidden="1" customWidth="1"/>
    <col min="5" max="5" width="11.42578125" style="211" hidden="1" customWidth="1"/>
    <col min="6" max="6" width="7.7109375" style="211" hidden="1" customWidth="1"/>
    <col min="7" max="7" width="2.42578125" style="211" hidden="1" customWidth="1"/>
    <col min="8" max="8" width="13.28515625" style="211" hidden="1" customWidth="1"/>
    <col min="9" max="9" width="11.42578125" style="211" hidden="1" customWidth="1"/>
    <col min="10" max="10" width="7.7109375" style="211" hidden="1" customWidth="1"/>
    <col min="11" max="11" width="2.42578125" style="211" hidden="1" customWidth="1"/>
    <col min="12" max="12" width="13.28515625" style="211" hidden="1" customWidth="1"/>
    <col min="13" max="13" width="11.42578125" style="211" hidden="1" customWidth="1"/>
    <col min="14" max="14" width="7.7109375" style="211" hidden="1" customWidth="1"/>
    <col min="15" max="15" width="2.42578125" style="211" hidden="1" customWidth="1"/>
    <col min="16" max="16" width="13.28515625" style="211" hidden="1" customWidth="1"/>
    <col min="17" max="17" width="11.42578125" style="211" hidden="1" customWidth="1"/>
    <col min="18" max="18" width="7.7109375" style="211" hidden="1" customWidth="1"/>
    <col min="19" max="19" width="2.42578125" style="211" hidden="1" customWidth="1"/>
    <col min="20" max="20" width="13.28515625" style="161" hidden="1" customWidth="1"/>
    <col min="21" max="21" width="11.42578125" style="161" hidden="1" customWidth="1"/>
    <col min="22" max="22" width="7.7109375" style="161" hidden="1" customWidth="1"/>
    <col min="23" max="23" width="2.42578125" style="161" hidden="1" customWidth="1"/>
    <col min="24" max="25" width="11.5703125" style="161" hidden="1" customWidth="1"/>
    <col min="26" max="26" width="8.5703125" style="161" hidden="1" customWidth="1"/>
    <col min="27" max="27" width="2.42578125" style="161" hidden="1" customWidth="1"/>
    <col min="28" max="29" width="11.5703125" style="161" customWidth="1"/>
    <col min="30" max="30" width="6.140625" style="161" bestFit="1" customWidth="1"/>
    <col min="31" max="31" width="2.42578125" style="211" customWidth="1"/>
    <col min="32" max="32" width="11.5703125" style="211" hidden="1" customWidth="1"/>
    <col min="33" max="33" width="9.5703125" style="211" bestFit="1" customWidth="1"/>
    <col min="34" max="34" width="10.140625" style="211" bestFit="1" customWidth="1"/>
    <col min="35" max="35" width="7.7109375" style="211" bestFit="1" customWidth="1"/>
    <col min="36" max="36" width="1.85546875" style="161" customWidth="1"/>
    <col min="37" max="37" width="9" style="394" customWidth="1"/>
    <col min="38" max="38" width="10.140625" style="394" bestFit="1" customWidth="1"/>
    <col min="39" max="39" width="8.5703125" style="394" bestFit="1" customWidth="1"/>
    <col min="40" max="40" width="2.42578125" style="394" customWidth="1"/>
    <col min="41" max="41" width="11.5703125" style="104" customWidth="1"/>
    <col min="42" max="42" width="11.7109375" style="104" customWidth="1"/>
    <col min="43" max="43" width="9.5703125" style="161" bestFit="1" customWidth="1"/>
    <col min="44" max="44" width="21" style="161" customWidth="1"/>
    <col min="45" max="16384" width="9.140625" style="161"/>
  </cols>
  <sheetData>
    <row r="3" spans="1:5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9"/>
      <c r="AO3" s="805" t="s">
        <v>1593</v>
      </c>
      <c r="AP3" s="805"/>
      <c r="AQ3" s="805"/>
      <c r="AR3" s="805"/>
    </row>
    <row r="4" spans="1:54" ht="27" x14ac:dyDescent="0.25">
      <c r="A4" s="271"/>
      <c r="B4" s="271"/>
      <c r="C4" s="308" t="s">
        <v>1991</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O4" s="107" t="s">
        <v>274</v>
      </c>
      <c r="AP4" s="108" t="s">
        <v>107</v>
      </c>
      <c r="AQ4" s="109" t="s">
        <v>28</v>
      </c>
      <c r="AR4" s="110" t="s">
        <v>275</v>
      </c>
    </row>
    <row r="5" spans="1:54" x14ac:dyDescent="0.25">
      <c r="A5" s="111" t="s">
        <v>272</v>
      </c>
      <c r="C5" s="111" t="s">
        <v>276</v>
      </c>
      <c r="AO5" s="103"/>
      <c r="AP5" s="103"/>
      <c r="AR5" s="111"/>
    </row>
    <row r="6" spans="1:54" x14ac:dyDescent="0.25">
      <c r="D6" s="112"/>
      <c r="E6" s="112"/>
      <c r="F6" s="216"/>
      <c r="H6" s="112"/>
      <c r="I6" s="112"/>
      <c r="J6" s="216"/>
      <c r="L6" s="112"/>
      <c r="M6" s="112"/>
      <c r="N6" s="216"/>
      <c r="P6" s="112"/>
      <c r="Q6" s="112"/>
      <c r="R6" s="216"/>
      <c r="T6" s="112"/>
      <c r="U6" s="112"/>
      <c r="V6" s="80"/>
      <c r="X6" s="112"/>
      <c r="Y6" s="112"/>
      <c r="Z6" s="80"/>
      <c r="AB6" s="112"/>
      <c r="AC6" s="112"/>
      <c r="AD6" s="80"/>
      <c r="AF6" s="212"/>
      <c r="AG6" s="212"/>
      <c r="AH6" s="112"/>
      <c r="AI6" s="216"/>
      <c r="AJ6" s="80"/>
      <c r="AK6" s="112"/>
      <c r="AL6" s="112"/>
      <c r="AM6" s="396"/>
      <c r="AQ6" s="80"/>
      <c r="AR6" s="211"/>
    </row>
    <row r="7" spans="1:5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7"/>
      <c r="AH7" s="225">
        <f>SUM(AH6:AH6)</f>
        <v>0</v>
      </c>
      <c r="AI7" s="226"/>
      <c r="AJ7" s="226"/>
      <c r="AK7" s="225">
        <f>SUM(AK6:AK6)</f>
        <v>0</v>
      </c>
      <c r="AL7" s="225">
        <f>SUM(AL6:AL6)</f>
        <v>0</v>
      </c>
      <c r="AM7" s="226"/>
      <c r="AN7" s="224"/>
      <c r="AO7" s="227"/>
      <c r="AP7" s="225"/>
      <c r="AQ7" s="226"/>
      <c r="AR7" s="224"/>
    </row>
    <row r="8" spans="1:5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80"/>
    </row>
    <row r="9" spans="1:5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80"/>
      <c r="AR9" s="111"/>
    </row>
    <row r="10" spans="1:54" s="211" customFormat="1" x14ac:dyDescent="0.25">
      <c r="A10" s="395" t="s">
        <v>1471</v>
      </c>
      <c r="B10" s="395" t="str">
        <f>MID(A10,14,4)</f>
        <v>5306</v>
      </c>
      <c r="C10" s="212" t="s">
        <v>1599</v>
      </c>
      <c r="D10" s="112">
        <v>0</v>
      </c>
      <c r="E10" s="112">
        <v>0</v>
      </c>
      <c r="F10" s="216"/>
      <c r="H10" s="112">
        <v>0</v>
      </c>
      <c r="I10" s="112">
        <v>0</v>
      </c>
      <c r="J10" s="216"/>
      <c r="L10" s="112">
        <v>0</v>
      </c>
      <c r="M10" s="112">
        <v>0</v>
      </c>
      <c r="N10" s="216"/>
      <c r="P10" s="112">
        <v>0</v>
      </c>
      <c r="Q10" s="112">
        <v>0</v>
      </c>
      <c r="R10" s="216"/>
      <c r="T10" s="112">
        <v>0</v>
      </c>
      <c r="U10" s="112">
        <v>0</v>
      </c>
      <c r="V10" s="216"/>
      <c r="X10" s="112">
        <v>0</v>
      </c>
      <c r="Y10" s="112">
        <v>0</v>
      </c>
      <c r="Z10" s="216"/>
      <c r="AB10" s="112">
        <v>0</v>
      </c>
      <c r="AC10" s="112">
        <v>28.7</v>
      </c>
      <c r="AD10" s="216"/>
      <c r="AE10" s="213"/>
      <c r="AF10" s="212">
        <v>0</v>
      </c>
      <c r="AG10" s="212">
        <v>0</v>
      </c>
      <c r="AH10" s="245">
        <v>27.65</v>
      </c>
      <c r="AI10" s="89"/>
      <c r="AJ10" s="216"/>
      <c r="AK10" s="112">
        <v>0</v>
      </c>
      <c r="AL10" s="112">
        <v>59.5</v>
      </c>
      <c r="AM10" s="89"/>
      <c r="AN10" s="397"/>
      <c r="AO10" s="212">
        <v>0</v>
      </c>
      <c r="AP10" s="398">
        <f>AO10-AK10</f>
        <v>0</v>
      </c>
      <c r="AQ10" s="89"/>
      <c r="AR10" s="400"/>
    </row>
    <row r="11" spans="1:54" ht="14.25" x14ac:dyDescent="0.3">
      <c r="A11" s="161" t="s">
        <v>818</v>
      </c>
      <c r="B11" s="395" t="str">
        <f>MID(A11,14,4)</f>
        <v>5399</v>
      </c>
      <c r="C11" s="212" t="s">
        <v>1602</v>
      </c>
      <c r="D11" s="112">
        <v>1700</v>
      </c>
      <c r="E11" s="112">
        <v>1700</v>
      </c>
      <c r="F11" s="216"/>
      <c r="H11" s="112">
        <v>1200</v>
      </c>
      <c r="I11" s="112">
        <v>1945</v>
      </c>
      <c r="J11" s="216"/>
      <c r="L11" s="112">
        <v>1200</v>
      </c>
      <c r="M11" s="112">
        <v>1250</v>
      </c>
      <c r="N11" s="216"/>
      <c r="P11" s="112">
        <v>1800</v>
      </c>
      <c r="Q11" s="112">
        <v>1625</v>
      </c>
      <c r="R11" s="216"/>
      <c r="T11" s="112">
        <v>1200</v>
      </c>
      <c r="U11" s="112">
        <v>1125</v>
      </c>
      <c r="V11" s="216"/>
      <c r="W11" s="211"/>
      <c r="X11" s="112">
        <v>1500</v>
      </c>
      <c r="Y11" s="112">
        <v>0</v>
      </c>
      <c r="Z11" s="216"/>
      <c r="AA11" s="211"/>
      <c r="AB11" s="112">
        <v>1500</v>
      </c>
      <c r="AC11" s="112">
        <v>1875</v>
      </c>
      <c r="AD11" s="216"/>
      <c r="AE11" s="213"/>
      <c r="AF11" s="245">
        <v>1500</v>
      </c>
      <c r="AG11" s="245">
        <v>1500</v>
      </c>
      <c r="AH11" s="245">
        <v>2105</v>
      </c>
      <c r="AI11" s="89">
        <f>(AG11-AB11)/AB11</f>
        <v>0</v>
      </c>
      <c r="AJ11" s="80"/>
      <c r="AK11" s="112">
        <v>200</v>
      </c>
      <c r="AL11" s="112"/>
      <c r="AM11" s="89">
        <f>(AK11-AG11)/AG11</f>
        <v>-0.8666666666666667</v>
      </c>
      <c r="AN11" s="397"/>
      <c r="AO11" s="104">
        <v>200</v>
      </c>
      <c r="AP11" s="245">
        <f>AO11-AK11</f>
        <v>0</v>
      </c>
      <c r="AQ11" s="89">
        <f>(AO11-AK11)/AK11</f>
        <v>0</v>
      </c>
      <c r="AR11" s="156" t="s">
        <v>1921</v>
      </c>
    </row>
    <row r="12" spans="1:54" s="114" customFormat="1" x14ac:dyDescent="0.25">
      <c r="A12" s="219"/>
      <c r="B12" s="219"/>
      <c r="C12" s="219" t="s">
        <v>279</v>
      </c>
      <c r="D12" s="220">
        <f>SUM(D11:D11)</f>
        <v>1700</v>
      </c>
      <c r="E12" s="220">
        <f>SUM(E11:E11)</f>
        <v>1700</v>
      </c>
      <c r="F12" s="221">
        <v>0</v>
      </c>
      <c r="G12" s="219"/>
      <c r="H12" s="220">
        <f>SUM(H11:H11)</f>
        <v>1200</v>
      </c>
      <c r="I12" s="220">
        <f>SUM(I11:I11)</f>
        <v>1945</v>
      </c>
      <c r="J12" s="221">
        <v>0</v>
      </c>
      <c r="K12" s="219"/>
      <c r="L12" s="220">
        <f>SUM(L11:L11)</f>
        <v>1200</v>
      </c>
      <c r="M12" s="220">
        <f>SUM(M11:M11)</f>
        <v>1250</v>
      </c>
      <c r="N12" s="221">
        <v>0</v>
      </c>
      <c r="O12" s="219"/>
      <c r="P12" s="220">
        <f>SUM(P11:P11)</f>
        <v>1800</v>
      </c>
      <c r="Q12" s="220">
        <f>SUM(Q11:Q11)</f>
        <v>1625</v>
      </c>
      <c r="R12" s="221">
        <v>0</v>
      </c>
      <c r="S12" s="219"/>
      <c r="T12" s="220">
        <f>SUM(T11:T11)</f>
        <v>1200</v>
      </c>
      <c r="U12" s="220">
        <f>SUM(U11:U11)</f>
        <v>1125</v>
      </c>
      <c r="V12" s="221">
        <v>0</v>
      </c>
      <c r="W12" s="219"/>
      <c r="X12" s="220">
        <f>SUM(X11:X11)</f>
        <v>1500</v>
      </c>
      <c r="Y12" s="220">
        <f>SUM(Y11:Y11)</f>
        <v>0</v>
      </c>
      <c r="Z12" s="222">
        <f>(X12-T12)/T12</f>
        <v>0.25</v>
      </c>
      <c r="AA12" s="219"/>
      <c r="AB12" s="220">
        <f>SUM(AB11:AB11)</f>
        <v>1500</v>
      </c>
      <c r="AC12" s="220">
        <f>SUM(AC11:AC11)</f>
        <v>1875</v>
      </c>
      <c r="AD12" s="221">
        <f>(AB12-X12)/X12</f>
        <v>0</v>
      </c>
      <c r="AE12" s="219"/>
      <c r="AF12" s="220">
        <f>SUM(AF11:AF11)</f>
        <v>1500</v>
      </c>
      <c r="AG12" s="220">
        <f>SUM(AG11:AG11)</f>
        <v>1500</v>
      </c>
      <c r="AH12" s="220">
        <f>SUM(AH10:AH11)</f>
        <v>2132.65</v>
      </c>
      <c r="AI12" s="221">
        <f>(AG12-AB12)/AB12</f>
        <v>0</v>
      </c>
      <c r="AJ12" s="221"/>
      <c r="AK12" s="401">
        <f>SUM(AK10:AK11)</f>
        <v>200</v>
      </c>
      <c r="AL12" s="401">
        <f>SUM(AL10:AL11)</f>
        <v>59.5</v>
      </c>
      <c r="AM12" s="221">
        <f>(AK12-AF12)/AF12</f>
        <v>-0.8666666666666667</v>
      </c>
      <c r="AN12" s="219"/>
      <c r="AO12" s="401">
        <f>SUM(AO10:AO11)</f>
        <v>200</v>
      </c>
      <c r="AP12" s="401">
        <f>SUM(AP10:AP11)</f>
        <v>0</v>
      </c>
      <c r="AQ12" s="221">
        <f>(AO12-AK12)/AK12</f>
        <v>0</v>
      </c>
      <c r="AR12" s="219"/>
    </row>
    <row r="13" spans="1:54" s="211" customFormat="1" x14ac:dyDescent="0.25">
      <c r="D13" s="112"/>
      <c r="E13" s="112"/>
      <c r="F13" s="216"/>
      <c r="G13" s="213"/>
      <c r="H13" s="112"/>
      <c r="I13" s="112"/>
      <c r="J13" s="216"/>
      <c r="K13" s="213"/>
      <c r="L13" s="112"/>
      <c r="M13" s="112"/>
      <c r="N13" s="216"/>
      <c r="O13" s="213"/>
      <c r="P13" s="112"/>
      <c r="Q13" s="112"/>
      <c r="R13" s="216"/>
      <c r="S13" s="213"/>
      <c r="T13" s="112"/>
      <c r="U13" s="112"/>
      <c r="V13" s="216"/>
      <c r="W13" s="213"/>
      <c r="X13" s="112"/>
      <c r="Y13" s="112"/>
      <c r="Z13" s="216"/>
      <c r="AA13" s="213"/>
      <c r="AB13" s="112"/>
      <c r="AC13" s="112"/>
      <c r="AD13" s="216"/>
      <c r="AE13" s="213"/>
      <c r="AF13" s="112"/>
      <c r="AG13" s="112"/>
      <c r="AH13" s="112"/>
      <c r="AI13" s="216"/>
      <c r="AJ13" s="216"/>
      <c r="AK13" s="112"/>
      <c r="AL13" s="112"/>
      <c r="AM13" s="396"/>
      <c r="AN13" s="397"/>
      <c r="AO13" s="212"/>
      <c r="AP13" s="212"/>
      <c r="AQ13" s="396"/>
      <c r="AR13" s="394"/>
    </row>
    <row r="14" spans="1:54" s="114" customFormat="1" ht="12.75" x14ac:dyDescent="0.2">
      <c r="A14" s="228"/>
      <c r="B14" s="228"/>
      <c r="C14" s="233" t="s">
        <v>280</v>
      </c>
      <c r="D14" s="230">
        <f>D7+D12</f>
        <v>1700</v>
      </c>
      <c r="E14" s="230">
        <f>E7+E12</f>
        <v>1700</v>
      </c>
      <c r="F14" s="231">
        <v>0</v>
      </c>
      <c r="G14" s="228"/>
      <c r="H14" s="230">
        <f>H7+H12</f>
        <v>1200</v>
      </c>
      <c r="I14" s="230">
        <f>I7+I12</f>
        <v>1945</v>
      </c>
      <c r="J14" s="231">
        <v>0</v>
      </c>
      <c r="K14" s="228"/>
      <c r="L14" s="230">
        <f>L7+L12</f>
        <v>1200</v>
      </c>
      <c r="M14" s="230">
        <f>M7+M12</f>
        <v>1250</v>
      </c>
      <c r="N14" s="231">
        <v>0</v>
      </c>
      <c r="O14" s="228"/>
      <c r="P14" s="230">
        <f>P7+P12</f>
        <v>1800</v>
      </c>
      <c r="Q14" s="230">
        <f>Q7+Q12</f>
        <v>1625</v>
      </c>
      <c r="R14" s="231">
        <v>0</v>
      </c>
      <c r="S14" s="228"/>
      <c r="T14" s="230">
        <f>T7+T12</f>
        <v>1200</v>
      </c>
      <c r="U14" s="230">
        <f>U7+U12</f>
        <v>1125</v>
      </c>
      <c r="V14" s="231">
        <v>0</v>
      </c>
      <c r="W14" s="228"/>
      <c r="X14" s="230">
        <f>X7+X12</f>
        <v>1500</v>
      </c>
      <c r="Y14" s="230">
        <f>Y7+Y12</f>
        <v>0</v>
      </c>
      <c r="Z14" s="231">
        <f>(X14-T14)/T14</f>
        <v>0.25</v>
      </c>
      <c r="AA14" s="228"/>
      <c r="AB14" s="230">
        <f>AB7+AB12</f>
        <v>1500</v>
      </c>
      <c r="AC14" s="230">
        <f>AC7+AC12</f>
        <v>1875</v>
      </c>
      <c r="AD14" s="231">
        <f>(AB14-X14)/X14</f>
        <v>0</v>
      </c>
      <c r="AE14" s="228"/>
      <c r="AF14" s="230">
        <f>AF7+AF12</f>
        <v>1500</v>
      </c>
      <c r="AG14" s="230">
        <f>AG7+AG12</f>
        <v>1500</v>
      </c>
      <c r="AH14" s="230">
        <f>AH7+AH12</f>
        <v>2132.65</v>
      </c>
      <c r="AI14" s="231">
        <f>(AG14-AB14)/AB14</f>
        <v>0</v>
      </c>
      <c r="AJ14" s="231"/>
      <c r="AK14" s="402">
        <f>AK7+AK12</f>
        <v>200</v>
      </c>
      <c r="AL14" s="402">
        <f>AL7+AL12</f>
        <v>59.5</v>
      </c>
      <c r="AM14" s="231">
        <f>(AK14-AF14)/AF14</f>
        <v>-0.8666666666666667</v>
      </c>
      <c r="AN14" s="228"/>
      <c r="AO14" s="232">
        <f>AO7+AO12</f>
        <v>200</v>
      </c>
      <c r="AP14" s="232">
        <f>AP7+AP12</f>
        <v>0</v>
      </c>
      <c r="AQ14" s="231">
        <f>(AO14-AK14)/AK14</f>
        <v>0</v>
      </c>
      <c r="AR14" s="233"/>
    </row>
    <row r="15" spans="1:54" x14ac:dyDescent="0.25">
      <c r="D15" s="120"/>
      <c r="H15" s="120"/>
      <c r="L15" s="120"/>
      <c r="P15" s="120"/>
      <c r="T15" s="120"/>
      <c r="X15" s="120"/>
      <c r="AB15" s="120"/>
      <c r="AF15" s="120"/>
      <c r="AG15" s="120"/>
      <c r="AK15" s="403"/>
    </row>
    <row r="16" spans="1:54" s="111" customFormat="1" ht="14.25" thickBot="1" x14ac:dyDescent="0.3">
      <c r="C16" s="111" t="s">
        <v>281</v>
      </c>
      <c r="D16" s="122"/>
      <c r="E16" s="121">
        <f>D14-E14</f>
        <v>0</v>
      </c>
      <c r="H16" s="122"/>
      <c r="I16" s="121">
        <f>H14-I14</f>
        <v>-745</v>
      </c>
      <c r="L16" s="122"/>
      <c r="M16" s="121">
        <f>L14-M14</f>
        <v>-50</v>
      </c>
      <c r="P16" s="122"/>
      <c r="Q16" s="121">
        <f>P14-Q14</f>
        <v>175</v>
      </c>
      <c r="T16" s="122"/>
      <c r="U16" s="121">
        <f>T14-U14</f>
        <v>75</v>
      </c>
      <c r="X16" s="122"/>
      <c r="Y16" s="121">
        <f>X14-Y14</f>
        <v>1500</v>
      </c>
      <c r="AB16" s="122"/>
      <c r="AC16" s="121">
        <f>AB14-AC14</f>
        <v>-375</v>
      </c>
      <c r="AF16" s="122"/>
      <c r="AG16" s="122"/>
      <c r="AH16" s="121">
        <f>AG14-AH14</f>
        <v>-632.65000000000009</v>
      </c>
      <c r="AK16" s="122"/>
      <c r="AL16" s="121">
        <f>AK14-AL14</f>
        <v>140.5</v>
      </c>
      <c r="AO16" s="211"/>
      <c r="AP16" s="211"/>
      <c r="AQ16" s="211"/>
      <c r="AR16" s="211"/>
      <c r="AS16" s="211"/>
      <c r="AT16" s="211"/>
      <c r="AU16" s="211"/>
      <c r="AV16" s="211"/>
      <c r="AW16" s="211"/>
      <c r="AX16" s="211"/>
      <c r="AY16" s="211"/>
      <c r="AZ16" s="211"/>
      <c r="BA16" s="211"/>
      <c r="BB16" s="211"/>
    </row>
    <row r="17" spans="3:54" ht="14.25" thickTop="1" x14ac:dyDescent="0.25">
      <c r="D17" s="120"/>
      <c r="F17" s="216"/>
      <c r="H17" s="120"/>
      <c r="J17" s="216"/>
      <c r="L17" s="120"/>
      <c r="N17" s="216"/>
      <c r="P17" s="120"/>
      <c r="R17" s="216"/>
      <c r="T17" s="120"/>
      <c r="V17" s="80"/>
      <c r="X17" s="120"/>
      <c r="AB17" s="120"/>
      <c r="AF17" s="120"/>
      <c r="AG17" s="120"/>
      <c r="AK17" s="403"/>
      <c r="AO17" s="211"/>
      <c r="AP17" s="211"/>
      <c r="AQ17" s="211"/>
      <c r="AR17" s="211"/>
      <c r="AS17" s="211"/>
      <c r="AT17" s="211"/>
      <c r="AU17" s="211"/>
      <c r="AV17" s="211"/>
      <c r="AW17" s="211"/>
      <c r="AX17" s="211"/>
      <c r="AY17" s="211"/>
      <c r="AZ17" s="211"/>
      <c r="BA17" s="211"/>
      <c r="BB17" s="211"/>
    </row>
    <row r="18" spans="3:54" x14ac:dyDescent="0.25">
      <c r="C18" s="136"/>
      <c r="D18" s="120"/>
      <c r="F18" s="216"/>
      <c r="H18" s="120"/>
      <c r="J18" s="216"/>
      <c r="L18" s="120"/>
      <c r="N18" s="216"/>
      <c r="P18" s="120"/>
      <c r="R18" s="216"/>
      <c r="T18" s="120"/>
      <c r="V18" s="80"/>
      <c r="X18" s="120"/>
      <c r="AB18" s="120"/>
      <c r="AF18" s="120"/>
      <c r="AG18" s="120"/>
      <c r="AK18" s="403"/>
      <c r="AO18" s="211"/>
      <c r="AP18" s="211"/>
      <c r="AQ18" s="211"/>
      <c r="AR18" s="211"/>
      <c r="AS18" s="211"/>
      <c r="AT18" s="211"/>
      <c r="AU18" s="211"/>
      <c r="AV18" s="211"/>
      <c r="AW18" s="211"/>
      <c r="AX18" s="211"/>
      <c r="AY18" s="211"/>
      <c r="AZ18" s="211"/>
      <c r="BA18" s="211"/>
      <c r="BB18" s="211"/>
    </row>
    <row r="19" spans="3:54" x14ac:dyDescent="0.25">
      <c r="D19" s="120"/>
      <c r="F19" s="216"/>
      <c r="H19" s="120"/>
      <c r="J19" s="216"/>
      <c r="L19" s="120"/>
      <c r="N19" s="216"/>
      <c r="P19" s="120"/>
      <c r="R19" s="216"/>
      <c r="T19" s="120"/>
      <c r="V19" s="80"/>
      <c r="X19" s="120"/>
      <c r="AB19" s="120"/>
      <c r="AF19" s="120"/>
      <c r="AG19" s="120"/>
      <c r="AK19" s="403"/>
      <c r="AO19" s="211"/>
      <c r="AP19" s="211"/>
      <c r="AQ19" s="211"/>
      <c r="AR19" s="211"/>
      <c r="AS19" s="211"/>
      <c r="AT19" s="211"/>
      <c r="AU19" s="211"/>
      <c r="AV19" s="211"/>
      <c r="AW19" s="211"/>
      <c r="AX19" s="211"/>
      <c r="AY19" s="211"/>
      <c r="AZ19" s="211"/>
      <c r="BA19" s="211"/>
      <c r="BB19" s="211"/>
    </row>
    <row r="20" spans="3:54" x14ac:dyDescent="0.25">
      <c r="D20" s="120"/>
      <c r="F20" s="216"/>
      <c r="H20" s="120"/>
      <c r="J20" s="216"/>
      <c r="L20" s="120"/>
      <c r="N20" s="216"/>
      <c r="P20" s="120"/>
      <c r="R20" s="216"/>
      <c r="T20" s="120"/>
      <c r="V20" s="80"/>
      <c r="X20" s="120"/>
      <c r="AB20" s="120"/>
      <c r="AF20" s="120"/>
      <c r="AG20" s="120"/>
      <c r="AK20" s="403"/>
      <c r="AO20" s="211"/>
      <c r="AP20" s="211"/>
      <c r="AQ20" s="211"/>
      <c r="AR20" s="211"/>
      <c r="AS20" s="211"/>
      <c r="AT20" s="211"/>
      <c r="AU20" s="211"/>
      <c r="AV20" s="211"/>
      <c r="AW20" s="211"/>
      <c r="AX20" s="211"/>
      <c r="AY20" s="211"/>
      <c r="AZ20" s="211"/>
      <c r="BA20" s="211"/>
      <c r="BB20" s="211"/>
    </row>
    <row r="21" spans="3:54" x14ac:dyDescent="0.25">
      <c r="D21" s="120"/>
      <c r="F21" s="216"/>
      <c r="H21" s="120"/>
      <c r="J21" s="216"/>
      <c r="L21" s="120"/>
      <c r="N21" s="216"/>
      <c r="P21" s="120"/>
      <c r="R21" s="216"/>
      <c r="T21" s="120"/>
      <c r="V21" s="80"/>
      <c r="X21" s="120"/>
      <c r="AB21" s="120"/>
      <c r="AF21" s="120"/>
      <c r="AG21" s="120"/>
      <c r="AK21" s="403"/>
      <c r="AO21" s="211"/>
      <c r="AP21" s="211"/>
      <c r="AQ21" s="211"/>
      <c r="AR21" s="211"/>
      <c r="AS21" s="211"/>
      <c r="AT21" s="211"/>
      <c r="AU21" s="211"/>
      <c r="AV21" s="211"/>
      <c r="AW21" s="211"/>
      <c r="AX21" s="211"/>
      <c r="AY21" s="211"/>
      <c r="AZ21" s="211"/>
      <c r="BA21" s="211"/>
      <c r="BB21" s="211"/>
    </row>
    <row r="22" spans="3:54" x14ac:dyDescent="0.25">
      <c r="D22" s="120"/>
      <c r="F22" s="216"/>
      <c r="H22" s="120"/>
      <c r="J22" s="216"/>
      <c r="L22" s="120"/>
      <c r="N22" s="216"/>
      <c r="P22" s="120"/>
      <c r="R22" s="216"/>
      <c r="T22" s="120"/>
      <c r="V22" s="80"/>
      <c r="X22" s="120"/>
      <c r="AB22" s="120"/>
      <c r="AF22" s="120"/>
      <c r="AG22" s="120"/>
      <c r="AK22" s="403"/>
      <c r="AO22" s="211"/>
      <c r="AP22" s="211"/>
      <c r="AQ22" s="211"/>
      <c r="AR22" s="211"/>
      <c r="AS22" s="211"/>
      <c r="AT22" s="211"/>
      <c r="AU22" s="211"/>
      <c r="AV22" s="211"/>
      <c r="AW22" s="211"/>
      <c r="AX22" s="211"/>
      <c r="AY22" s="211"/>
      <c r="AZ22" s="211"/>
      <c r="BA22" s="211"/>
      <c r="BB22" s="211"/>
    </row>
    <row r="23" spans="3:54" x14ac:dyDescent="0.25">
      <c r="D23" s="120"/>
      <c r="F23" s="216"/>
      <c r="H23" s="120"/>
      <c r="J23" s="216"/>
      <c r="L23" s="120"/>
      <c r="N23" s="216"/>
      <c r="P23" s="120"/>
      <c r="R23" s="216"/>
      <c r="T23" s="120"/>
      <c r="V23" s="80"/>
      <c r="X23" s="120"/>
      <c r="AB23" s="120"/>
      <c r="AF23" s="120"/>
      <c r="AG23" s="120"/>
      <c r="AK23" s="403"/>
      <c r="AO23" s="211"/>
      <c r="AP23" s="211"/>
      <c r="AQ23" s="211"/>
      <c r="AR23" s="211"/>
      <c r="AS23" s="211"/>
      <c r="AT23" s="211"/>
      <c r="AU23" s="211"/>
      <c r="AV23" s="211"/>
      <c r="AW23" s="211"/>
      <c r="AX23" s="211"/>
      <c r="AY23" s="211"/>
      <c r="AZ23" s="211"/>
      <c r="BA23" s="211"/>
      <c r="BB23" s="211"/>
    </row>
    <row r="24" spans="3:54" x14ac:dyDescent="0.25">
      <c r="D24" s="120"/>
      <c r="F24" s="216"/>
      <c r="H24" s="120"/>
      <c r="J24" s="216"/>
      <c r="L24" s="120"/>
      <c r="N24" s="216"/>
      <c r="P24" s="120"/>
      <c r="R24" s="216"/>
      <c r="T24" s="120"/>
      <c r="V24" s="80"/>
      <c r="X24" s="120"/>
      <c r="AB24" s="120"/>
      <c r="AF24" s="120"/>
      <c r="AG24" s="120"/>
      <c r="AK24" s="403"/>
      <c r="AO24" s="211"/>
      <c r="AP24" s="211"/>
      <c r="AQ24" s="211"/>
      <c r="AR24" s="211"/>
      <c r="AS24" s="211"/>
      <c r="AT24" s="211"/>
      <c r="AU24" s="211"/>
      <c r="AV24" s="211"/>
      <c r="AW24" s="211"/>
      <c r="AX24" s="211"/>
      <c r="AY24" s="211"/>
      <c r="AZ24" s="211"/>
      <c r="BA24" s="211"/>
      <c r="BB24" s="211"/>
    </row>
    <row r="25" spans="3:54" x14ac:dyDescent="0.25">
      <c r="D25" s="120"/>
      <c r="F25" s="216"/>
      <c r="H25" s="120"/>
      <c r="J25" s="216"/>
      <c r="L25" s="120"/>
      <c r="N25" s="216"/>
      <c r="P25" s="120"/>
      <c r="R25" s="216"/>
      <c r="T25" s="120"/>
      <c r="V25" s="80"/>
      <c r="X25" s="120"/>
      <c r="AB25" s="120"/>
      <c r="AF25" s="120"/>
      <c r="AG25" s="120"/>
      <c r="AK25" s="403"/>
      <c r="AO25" s="211"/>
      <c r="AP25" s="211"/>
      <c r="AQ25" s="211"/>
      <c r="AR25" s="211"/>
      <c r="AS25" s="211"/>
      <c r="AT25" s="211"/>
      <c r="AU25" s="211"/>
      <c r="AV25" s="211"/>
      <c r="AW25" s="211"/>
      <c r="AX25" s="211"/>
      <c r="AY25" s="211"/>
      <c r="AZ25" s="211"/>
      <c r="BA25" s="211"/>
      <c r="BB25" s="211"/>
    </row>
    <row r="26" spans="3:54" x14ac:dyDescent="0.25">
      <c r="D26" s="120"/>
      <c r="F26" s="216"/>
      <c r="H26" s="120"/>
      <c r="J26" s="216"/>
      <c r="L26" s="120"/>
      <c r="N26" s="216"/>
      <c r="P26" s="120"/>
      <c r="R26" s="216"/>
      <c r="T26" s="120"/>
      <c r="V26" s="80"/>
      <c r="X26" s="120"/>
      <c r="AB26" s="120"/>
      <c r="AF26" s="120"/>
      <c r="AG26" s="120"/>
      <c r="AK26" s="403"/>
      <c r="AO26" s="211"/>
      <c r="AP26" s="211"/>
      <c r="AQ26" s="211"/>
      <c r="AR26" s="211"/>
      <c r="AS26" s="211"/>
      <c r="AT26" s="211"/>
      <c r="AU26" s="211"/>
      <c r="AV26" s="211"/>
      <c r="AW26" s="211"/>
      <c r="AX26" s="211"/>
      <c r="AY26" s="211"/>
      <c r="AZ26" s="211"/>
      <c r="BA26" s="211"/>
      <c r="BB26" s="211"/>
    </row>
    <row r="27" spans="3:54" x14ac:dyDescent="0.25">
      <c r="D27" s="120"/>
      <c r="F27" s="216"/>
      <c r="H27" s="120"/>
      <c r="J27" s="216"/>
      <c r="L27" s="120"/>
      <c r="N27" s="216"/>
      <c r="P27" s="120"/>
      <c r="R27" s="216"/>
      <c r="T27" s="120"/>
      <c r="V27" s="80"/>
      <c r="X27" s="120"/>
      <c r="AB27" s="120"/>
      <c r="AF27" s="120"/>
      <c r="AG27" s="120"/>
      <c r="AK27" s="403"/>
      <c r="AO27" s="211"/>
      <c r="AP27" s="211"/>
      <c r="AQ27" s="211"/>
      <c r="AR27" s="211"/>
      <c r="AS27" s="211"/>
      <c r="AT27" s="211"/>
      <c r="AU27" s="211"/>
      <c r="AV27" s="211"/>
      <c r="AW27" s="211"/>
      <c r="AX27" s="211"/>
      <c r="AY27" s="211"/>
      <c r="AZ27" s="211"/>
      <c r="BA27" s="211"/>
      <c r="BB27" s="211"/>
    </row>
    <row r="28" spans="3:54" x14ac:dyDescent="0.25">
      <c r="D28" s="120"/>
      <c r="F28" s="216"/>
      <c r="H28" s="120"/>
      <c r="J28" s="216"/>
      <c r="L28" s="120"/>
      <c r="N28" s="216"/>
      <c r="P28" s="120"/>
      <c r="R28" s="216"/>
      <c r="T28" s="120"/>
      <c r="V28" s="80"/>
      <c r="X28" s="120"/>
      <c r="AB28" s="120"/>
      <c r="AF28" s="120"/>
      <c r="AG28" s="120"/>
      <c r="AK28" s="403"/>
      <c r="AO28" s="211"/>
      <c r="AP28" s="211"/>
      <c r="AQ28" s="211"/>
      <c r="AR28" s="211"/>
      <c r="AS28" s="211"/>
      <c r="AT28" s="211"/>
      <c r="AU28" s="211"/>
      <c r="AV28" s="211"/>
      <c r="AW28" s="211"/>
      <c r="AX28" s="211"/>
      <c r="AY28" s="211"/>
      <c r="AZ28" s="211"/>
      <c r="BA28" s="211"/>
      <c r="BB28" s="211"/>
    </row>
    <row r="29" spans="3:54" x14ac:dyDescent="0.25">
      <c r="D29" s="120"/>
      <c r="F29" s="216"/>
      <c r="H29" s="120"/>
      <c r="J29" s="216"/>
      <c r="L29" s="120"/>
      <c r="N29" s="216"/>
      <c r="P29" s="120"/>
      <c r="R29" s="216"/>
      <c r="T29" s="120"/>
      <c r="V29" s="80"/>
      <c r="X29" s="120"/>
      <c r="AB29" s="120"/>
      <c r="AF29" s="120"/>
      <c r="AG29" s="120"/>
      <c r="AK29" s="403"/>
      <c r="AO29" s="211"/>
      <c r="AP29" s="211"/>
      <c r="AQ29" s="211"/>
      <c r="AR29" s="211"/>
      <c r="AS29" s="211"/>
      <c r="AT29" s="211"/>
      <c r="AU29" s="211"/>
      <c r="AV29" s="211"/>
      <c r="AW29" s="211"/>
      <c r="AX29" s="211"/>
      <c r="AY29" s="211"/>
      <c r="AZ29" s="211"/>
      <c r="BA29" s="211"/>
      <c r="BB29" s="211"/>
    </row>
    <row r="30" spans="3:54" x14ac:dyDescent="0.25">
      <c r="D30" s="120"/>
      <c r="F30" s="216"/>
      <c r="H30" s="120"/>
      <c r="J30" s="216"/>
      <c r="L30" s="120"/>
      <c r="N30" s="216"/>
      <c r="P30" s="120"/>
      <c r="R30" s="216"/>
      <c r="T30" s="120"/>
      <c r="V30" s="80"/>
      <c r="X30" s="120"/>
      <c r="AB30" s="120"/>
      <c r="AF30" s="120"/>
      <c r="AG30" s="120"/>
      <c r="AK30" s="403"/>
      <c r="AO30" s="211"/>
      <c r="AP30" s="211"/>
      <c r="AQ30" s="211"/>
      <c r="AR30" s="211"/>
      <c r="AS30" s="211"/>
      <c r="AT30" s="211"/>
      <c r="AU30" s="211"/>
      <c r="AV30" s="211"/>
      <c r="AW30" s="211"/>
      <c r="AX30" s="211"/>
      <c r="AY30" s="211"/>
      <c r="AZ30" s="211"/>
      <c r="BA30" s="211"/>
      <c r="BB30" s="211"/>
    </row>
    <row r="31" spans="3:54" x14ac:dyDescent="0.25">
      <c r="D31" s="120"/>
      <c r="F31" s="216"/>
      <c r="H31" s="120"/>
      <c r="J31" s="216"/>
      <c r="L31" s="120"/>
      <c r="N31" s="216"/>
      <c r="P31" s="120"/>
      <c r="R31" s="216"/>
      <c r="T31" s="120"/>
      <c r="V31" s="80"/>
      <c r="X31" s="120"/>
      <c r="AB31" s="120"/>
      <c r="AF31" s="120"/>
      <c r="AG31" s="120"/>
      <c r="AK31" s="403"/>
      <c r="AO31" s="211"/>
      <c r="AP31" s="211"/>
      <c r="AQ31" s="211"/>
      <c r="AR31" s="211"/>
      <c r="AS31" s="211"/>
      <c r="AT31" s="211"/>
      <c r="AU31" s="211"/>
      <c r="AV31" s="211"/>
      <c r="AW31" s="211"/>
      <c r="AX31" s="211"/>
      <c r="AY31" s="211"/>
      <c r="AZ31" s="211"/>
      <c r="BA31" s="211"/>
      <c r="BB31" s="211"/>
    </row>
    <row r="32" spans="3:54" x14ac:dyDescent="0.25">
      <c r="D32" s="120"/>
      <c r="F32" s="216"/>
      <c r="H32" s="120"/>
      <c r="J32" s="216"/>
      <c r="L32" s="120"/>
      <c r="N32" s="216"/>
      <c r="P32" s="120"/>
      <c r="R32" s="216"/>
      <c r="T32" s="120"/>
      <c r="V32" s="80"/>
      <c r="X32" s="120"/>
      <c r="AB32" s="120"/>
      <c r="AF32" s="120"/>
      <c r="AG32" s="120"/>
      <c r="AK32" s="403"/>
      <c r="AO32" s="211"/>
      <c r="AP32" s="211"/>
      <c r="AQ32" s="211"/>
      <c r="AR32" s="211"/>
      <c r="AS32" s="211"/>
      <c r="AT32" s="211"/>
      <c r="AU32" s="211"/>
      <c r="AV32" s="211"/>
      <c r="AW32" s="211"/>
      <c r="AX32" s="211"/>
      <c r="AY32" s="211"/>
      <c r="AZ32" s="211"/>
      <c r="BA32" s="211"/>
      <c r="BB32" s="211"/>
    </row>
    <row r="33" spans="4:54" x14ac:dyDescent="0.25">
      <c r="D33" s="120"/>
      <c r="F33" s="216"/>
      <c r="H33" s="120"/>
      <c r="J33" s="216"/>
      <c r="L33" s="120"/>
      <c r="N33" s="216"/>
      <c r="P33" s="120"/>
      <c r="R33" s="216"/>
      <c r="T33" s="120"/>
      <c r="V33" s="80"/>
      <c r="X33" s="120"/>
      <c r="AB33" s="120"/>
      <c r="AF33" s="120"/>
      <c r="AG33" s="120"/>
      <c r="AK33" s="403"/>
      <c r="AO33" s="211"/>
      <c r="AP33" s="211"/>
      <c r="AQ33" s="211"/>
      <c r="AR33" s="211"/>
      <c r="AS33" s="211"/>
      <c r="AT33" s="211"/>
      <c r="AU33" s="211"/>
      <c r="AV33" s="211"/>
      <c r="AW33" s="211"/>
      <c r="AX33" s="211"/>
      <c r="AY33" s="211"/>
      <c r="AZ33" s="211"/>
      <c r="BA33" s="211"/>
      <c r="BB33" s="211"/>
    </row>
    <row r="34" spans="4:54" x14ac:dyDescent="0.25">
      <c r="D34" s="120"/>
      <c r="F34" s="216"/>
      <c r="H34" s="120"/>
      <c r="J34" s="216"/>
      <c r="L34" s="120"/>
      <c r="N34" s="216"/>
      <c r="P34" s="120"/>
      <c r="R34" s="216"/>
      <c r="T34" s="120"/>
      <c r="V34" s="80"/>
      <c r="X34" s="120"/>
      <c r="AB34" s="120"/>
      <c r="AF34" s="120"/>
      <c r="AG34" s="120"/>
      <c r="AK34" s="403"/>
      <c r="AO34" s="211"/>
      <c r="AP34" s="211"/>
      <c r="AQ34" s="211"/>
      <c r="AR34" s="211"/>
      <c r="AS34" s="211"/>
      <c r="AT34" s="211"/>
      <c r="AU34" s="211"/>
      <c r="AV34" s="211"/>
      <c r="AW34" s="211"/>
      <c r="AX34" s="211"/>
      <c r="AY34" s="211"/>
      <c r="AZ34" s="211"/>
      <c r="BA34" s="211"/>
      <c r="BB34" s="211"/>
    </row>
    <row r="35" spans="4:54" x14ac:dyDescent="0.25">
      <c r="D35" s="120"/>
      <c r="F35" s="216"/>
      <c r="H35" s="120"/>
      <c r="J35" s="216"/>
      <c r="L35" s="120"/>
      <c r="N35" s="216"/>
      <c r="P35" s="120"/>
      <c r="R35" s="216"/>
      <c r="T35" s="120"/>
      <c r="V35" s="80"/>
      <c r="X35" s="120"/>
      <c r="AB35" s="120"/>
      <c r="AF35" s="120"/>
      <c r="AG35" s="120"/>
      <c r="AK35" s="403"/>
      <c r="AO35" s="211"/>
      <c r="AP35" s="211"/>
      <c r="AQ35" s="211"/>
      <c r="AR35" s="211"/>
      <c r="AS35" s="211"/>
      <c r="AT35" s="211"/>
      <c r="AU35" s="211"/>
      <c r="AV35" s="211"/>
      <c r="AW35" s="211"/>
      <c r="AX35" s="211"/>
      <c r="AY35" s="211"/>
      <c r="AZ35" s="211"/>
      <c r="BA35" s="211"/>
      <c r="BB35" s="211"/>
    </row>
    <row r="36" spans="4:54" x14ac:dyDescent="0.25">
      <c r="D36" s="120"/>
      <c r="H36" s="120"/>
      <c r="L36" s="120"/>
      <c r="P36" s="120"/>
      <c r="T36" s="120"/>
      <c r="X36" s="120"/>
      <c r="AB36" s="120"/>
      <c r="AF36" s="120"/>
      <c r="AG36" s="120"/>
      <c r="AK36" s="403"/>
      <c r="AO36" s="211"/>
      <c r="AP36" s="211"/>
      <c r="AQ36" s="211"/>
      <c r="AR36" s="211"/>
      <c r="AS36" s="211"/>
      <c r="AT36" s="211"/>
      <c r="AU36" s="211"/>
      <c r="AV36" s="211"/>
      <c r="AW36" s="211"/>
      <c r="AX36" s="211"/>
      <c r="AY36" s="211"/>
      <c r="AZ36" s="211"/>
      <c r="BA36" s="211"/>
      <c r="BB36" s="211"/>
    </row>
    <row r="37" spans="4:54" x14ac:dyDescent="0.25">
      <c r="D37" s="120"/>
      <c r="H37" s="120"/>
      <c r="L37" s="120"/>
      <c r="P37" s="120"/>
      <c r="T37" s="120"/>
      <c r="X37" s="120"/>
      <c r="AB37" s="120"/>
      <c r="AF37" s="120"/>
      <c r="AG37" s="120"/>
      <c r="AK37" s="403"/>
      <c r="AO37" s="211"/>
      <c r="AP37" s="211"/>
      <c r="AQ37" s="211"/>
      <c r="AR37" s="211"/>
      <c r="AS37" s="211"/>
      <c r="AT37" s="211"/>
      <c r="AU37" s="211"/>
      <c r="AV37" s="211"/>
      <c r="AW37" s="211"/>
      <c r="AX37" s="211"/>
      <c r="AY37" s="211"/>
      <c r="AZ37" s="211"/>
      <c r="BA37" s="211"/>
      <c r="BB37" s="211"/>
    </row>
    <row r="38" spans="4:54" x14ac:dyDescent="0.25">
      <c r="D38" s="120"/>
      <c r="H38" s="120"/>
      <c r="L38" s="120"/>
      <c r="P38" s="120"/>
      <c r="T38" s="120"/>
      <c r="X38" s="120"/>
      <c r="AB38" s="120"/>
      <c r="AF38" s="120"/>
      <c r="AG38" s="120"/>
      <c r="AK38" s="403"/>
      <c r="AO38" s="211"/>
      <c r="AP38" s="211"/>
      <c r="AQ38" s="211"/>
      <c r="AR38" s="211"/>
      <c r="AS38" s="211"/>
      <c r="AT38" s="211"/>
      <c r="AU38" s="211"/>
      <c r="AV38" s="211"/>
      <c r="AW38" s="211"/>
      <c r="AX38" s="211"/>
      <c r="AY38" s="211"/>
      <c r="AZ38" s="211"/>
      <c r="BA38" s="211"/>
      <c r="BB38" s="211"/>
    </row>
    <row r="39" spans="4:54" x14ac:dyDescent="0.25">
      <c r="D39" s="120"/>
      <c r="H39" s="120"/>
      <c r="L39" s="120"/>
      <c r="P39" s="120"/>
      <c r="T39" s="120"/>
      <c r="X39" s="120"/>
      <c r="AB39" s="120"/>
      <c r="AF39" s="120"/>
      <c r="AG39" s="120"/>
      <c r="AK39" s="403"/>
      <c r="AO39" s="211"/>
      <c r="AP39" s="211"/>
      <c r="AQ39" s="211"/>
      <c r="AR39" s="211"/>
      <c r="AS39" s="211"/>
      <c r="AT39" s="211"/>
      <c r="AU39" s="211"/>
      <c r="AV39" s="211"/>
      <c r="AW39" s="211"/>
      <c r="AX39" s="211"/>
      <c r="AY39" s="211"/>
      <c r="AZ39" s="211"/>
      <c r="BA39" s="211"/>
      <c r="BB39" s="211"/>
    </row>
    <row r="40" spans="4:54" x14ac:dyDescent="0.25">
      <c r="D40" s="120"/>
      <c r="H40" s="120"/>
      <c r="L40" s="120"/>
      <c r="P40" s="120"/>
      <c r="T40" s="120"/>
      <c r="X40" s="120"/>
      <c r="AB40" s="120"/>
      <c r="AF40" s="120"/>
      <c r="AG40" s="120"/>
      <c r="AK40" s="403"/>
      <c r="AO40" s="211"/>
      <c r="AP40" s="211"/>
      <c r="AQ40" s="211"/>
      <c r="AR40" s="211"/>
      <c r="AS40" s="211"/>
      <c r="AT40" s="211"/>
      <c r="AU40" s="211"/>
      <c r="AV40" s="211"/>
      <c r="AW40" s="211"/>
      <c r="AX40" s="211"/>
      <c r="AY40" s="211"/>
      <c r="AZ40" s="211"/>
      <c r="BA40" s="211"/>
      <c r="BB40" s="211"/>
    </row>
    <row r="41" spans="4:54" x14ac:dyDescent="0.25">
      <c r="D41" s="120"/>
      <c r="H41" s="120"/>
      <c r="L41" s="120"/>
      <c r="P41" s="120"/>
      <c r="T41" s="120"/>
      <c r="X41" s="120"/>
      <c r="AB41" s="120"/>
      <c r="AF41" s="120"/>
      <c r="AG41" s="120"/>
      <c r="AK41" s="403"/>
      <c r="AO41" s="211"/>
      <c r="AP41" s="211"/>
      <c r="AQ41" s="211"/>
      <c r="AR41" s="211"/>
      <c r="AS41" s="211"/>
      <c r="AT41" s="211"/>
      <c r="AU41" s="211"/>
      <c r="AV41" s="211"/>
      <c r="AW41" s="211"/>
      <c r="AX41" s="211"/>
      <c r="AY41" s="211"/>
      <c r="AZ41" s="211"/>
      <c r="BA41" s="211"/>
      <c r="BB41" s="211"/>
    </row>
    <row r="42" spans="4:54" x14ac:dyDescent="0.25">
      <c r="D42" s="120"/>
      <c r="H42" s="120"/>
      <c r="L42" s="120"/>
      <c r="P42" s="120"/>
      <c r="T42" s="120"/>
      <c r="X42" s="120"/>
      <c r="AB42" s="120"/>
      <c r="AF42" s="120"/>
      <c r="AG42" s="120"/>
      <c r="AK42" s="403"/>
      <c r="AO42" s="211"/>
      <c r="AP42" s="211"/>
      <c r="AQ42" s="211"/>
      <c r="AR42" s="211"/>
      <c r="AS42" s="211"/>
      <c r="AT42" s="211"/>
      <c r="AU42" s="211"/>
      <c r="AV42" s="211"/>
      <c r="AW42" s="211"/>
      <c r="AX42" s="211"/>
      <c r="AY42" s="211"/>
      <c r="AZ42" s="211"/>
      <c r="BA42" s="211"/>
      <c r="BB42" s="211"/>
    </row>
    <row r="43" spans="4:54" x14ac:dyDescent="0.25">
      <c r="D43" s="120"/>
      <c r="H43" s="120"/>
      <c r="L43" s="120"/>
      <c r="P43" s="120"/>
      <c r="T43" s="120"/>
      <c r="X43" s="120"/>
      <c r="AB43" s="120"/>
      <c r="AF43" s="120"/>
      <c r="AG43" s="120"/>
      <c r="AK43" s="403"/>
      <c r="AO43" s="211"/>
      <c r="AP43" s="211"/>
      <c r="AQ43" s="211"/>
      <c r="AR43" s="211"/>
      <c r="AS43" s="211"/>
      <c r="AT43" s="211"/>
      <c r="AU43" s="211"/>
      <c r="AV43" s="211"/>
      <c r="AW43" s="211"/>
      <c r="AX43" s="211"/>
      <c r="AY43" s="211"/>
      <c r="AZ43" s="211"/>
      <c r="BA43" s="211"/>
      <c r="BB43" s="211"/>
    </row>
    <row r="44" spans="4:54" x14ac:dyDescent="0.25">
      <c r="D44" s="120"/>
      <c r="H44" s="120"/>
      <c r="L44" s="120"/>
      <c r="P44" s="120"/>
      <c r="T44" s="120"/>
      <c r="X44" s="120"/>
      <c r="AB44" s="120"/>
      <c r="AF44" s="120"/>
      <c r="AG44" s="120"/>
      <c r="AK44" s="403"/>
      <c r="AO44" s="211"/>
      <c r="AP44" s="211"/>
      <c r="AQ44" s="211"/>
      <c r="AR44" s="211"/>
      <c r="AS44" s="211"/>
      <c r="AT44" s="211"/>
      <c r="AU44" s="211"/>
      <c r="AV44" s="211"/>
      <c r="AW44" s="211"/>
      <c r="AX44" s="211"/>
      <c r="AY44" s="211"/>
      <c r="AZ44" s="211"/>
      <c r="BA44" s="211"/>
      <c r="BB44" s="211"/>
    </row>
    <row r="45" spans="4:54" x14ac:dyDescent="0.25">
      <c r="D45" s="120"/>
      <c r="H45" s="120"/>
      <c r="L45" s="120"/>
      <c r="P45" s="120"/>
      <c r="T45" s="120"/>
      <c r="X45" s="120"/>
      <c r="AB45" s="120"/>
      <c r="AF45" s="120"/>
      <c r="AG45" s="120"/>
      <c r="AK45" s="403"/>
      <c r="AO45" s="211"/>
      <c r="AP45" s="211"/>
      <c r="AQ45" s="211"/>
      <c r="AR45" s="211"/>
      <c r="AS45" s="211"/>
      <c r="AT45" s="211"/>
      <c r="AU45" s="211"/>
      <c r="AV45" s="211"/>
      <c r="AW45" s="211"/>
      <c r="AX45" s="211"/>
      <c r="AY45" s="211"/>
      <c r="AZ45" s="211"/>
      <c r="BA45" s="211"/>
      <c r="BB45" s="211"/>
    </row>
    <row r="46" spans="4:54" x14ac:dyDescent="0.25">
      <c r="D46" s="120"/>
      <c r="H46" s="120"/>
      <c r="L46" s="120"/>
      <c r="P46" s="120"/>
      <c r="T46" s="120"/>
      <c r="X46" s="120"/>
      <c r="AB46" s="120"/>
      <c r="AF46" s="120"/>
      <c r="AG46" s="120"/>
      <c r="AK46" s="403"/>
      <c r="AO46" s="211"/>
      <c r="AP46" s="211"/>
      <c r="AQ46" s="211"/>
      <c r="AR46" s="211"/>
      <c r="AS46" s="211"/>
      <c r="AT46" s="211"/>
      <c r="AU46" s="211"/>
      <c r="AV46" s="211"/>
      <c r="AW46" s="211"/>
      <c r="AX46" s="211"/>
      <c r="AY46" s="211"/>
      <c r="AZ46" s="211"/>
      <c r="BA46" s="211"/>
      <c r="BB46" s="211"/>
    </row>
    <row r="47" spans="4:54" x14ac:dyDescent="0.25">
      <c r="D47" s="120"/>
      <c r="H47" s="120"/>
      <c r="L47" s="120"/>
      <c r="P47" s="120"/>
      <c r="T47" s="120"/>
      <c r="X47" s="120"/>
      <c r="AB47" s="120"/>
      <c r="AF47" s="120"/>
      <c r="AG47" s="120"/>
      <c r="AK47" s="403"/>
      <c r="AO47" s="211"/>
      <c r="AP47" s="211"/>
      <c r="AQ47" s="211"/>
      <c r="AR47" s="211"/>
      <c r="AS47" s="211"/>
      <c r="AT47" s="211"/>
      <c r="AU47" s="211"/>
      <c r="AV47" s="211"/>
      <c r="AW47" s="211"/>
      <c r="AX47" s="211"/>
      <c r="AY47" s="211"/>
      <c r="AZ47" s="211"/>
      <c r="BA47" s="211"/>
      <c r="BB47" s="211"/>
    </row>
    <row r="48" spans="4:54" x14ac:dyDescent="0.25">
      <c r="D48" s="120"/>
      <c r="H48" s="120"/>
      <c r="L48" s="120"/>
      <c r="P48" s="120"/>
      <c r="T48" s="120"/>
      <c r="X48" s="120"/>
      <c r="AB48" s="120"/>
      <c r="AF48" s="120"/>
      <c r="AG48" s="120"/>
      <c r="AK48" s="403"/>
      <c r="AO48" s="211"/>
      <c r="AP48" s="211"/>
      <c r="AQ48" s="211"/>
      <c r="AR48" s="211"/>
      <c r="AS48" s="211"/>
      <c r="AT48" s="211"/>
      <c r="AU48" s="211"/>
      <c r="AV48" s="211"/>
      <c r="AW48" s="211"/>
      <c r="AX48" s="211"/>
      <c r="AY48" s="211"/>
      <c r="AZ48" s="211"/>
      <c r="BA48" s="211"/>
      <c r="BB48" s="211"/>
    </row>
    <row r="49" spans="4:54" x14ac:dyDescent="0.25">
      <c r="D49" s="120"/>
      <c r="H49" s="120"/>
      <c r="L49" s="120"/>
      <c r="P49" s="120"/>
      <c r="T49" s="120"/>
      <c r="X49" s="120"/>
      <c r="AB49" s="120"/>
      <c r="AF49" s="120"/>
      <c r="AG49" s="120"/>
      <c r="AK49" s="403"/>
      <c r="AO49" s="211"/>
      <c r="AP49" s="211"/>
      <c r="AQ49" s="211"/>
      <c r="AR49" s="211"/>
      <c r="AS49" s="211"/>
      <c r="AT49" s="211"/>
      <c r="AU49" s="211"/>
      <c r="AV49" s="211"/>
      <c r="AW49" s="211"/>
      <c r="AX49" s="211"/>
      <c r="AY49" s="211"/>
      <c r="AZ49" s="211"/>
      <c r="BA49" s="211"/>
      <c r="BB49" s="211"/>
    </row>
    <row r="50" spans="4:54" x14ac:dyDescent="0.25">
      <c r="D50" s="120"/>
      <c r="H50" s="120"/>
      <c r="L50" s="120"/>
      <c r="P50" s="120"/>
      <c r="T50" s="120"/>
      <c r="X50" s="120"/>
      <c r="AB50" s="120"/>
      <c r="AF50" s="120"/>
      <c r="AG50" s="120"/>
      <c r="AK50" s="403"/>
      <c r="AO50" s="211"/>
      <c r="AP50" s="211"/>
      <c r="AQ50" s="211"/>
      <c r="AR50" s="211"/>
      <c r="AS50" s="211"/>
      <c r="AT50" s="211"/>
      <c r="AU50" s="211"/>
      <c r="AV50" s="211"/>
      <c r="AW50" s="211"/>
      <c r="AX50" s="211"/>
      <c r="AY50" s="211"/>
      <c r="AZ50" s="211"/>
      <c r="BA50" s="211"/>
      <c r="BB50" s="211"/>
    </row>
    <row r="51" spans="4:54" x14ac:dyDescent="0.25">
      <c r="D51" s="120"/>
      <c r="H51" s="120"/>
      <c r="L51" s="120"/>
      <c r="P51" s="120"/>
      <c r="T51" s="120"/>
      <c r="X51" s="120"/>
      <c r="AB51" s="120"/>
      <c r="AF51" s="120"/>
      <c r="AG51" s="120"/>
      <c r="AK51" s="403"/>
      <c r="AO51" s="211"/>
      <c r="AP51" s="211"/>
      <c r="AQ51" s="211"/>
      <c r="AR51" s="211"/>
      <c r="AS51" s="211"/>
      <c r="AT51" s="211"/>
      <c r="AU51" s="211"/>
      <c r="AV51" s="211"/>
      <c r="AW51" s="211"/>
      <c r="AX51" s="211"/>
      <c r="AY51" s="211"/>
      <c r="AZ51" s="211"/>
      <c r="BA51" s="211"/>
      <c r="BB51" s="211"/>
    </row>
    <row r="52" spans="4:54" x14ac:dyDescent="0.25">
      <c r="D52" s="120"/>
      <c r="H52" s="120"/>
      <c r="L52" s="120"/>
      <c r="P52" s="120"/>
      <c r="T52" s="120"/>
      <c r="X52" s="120"/>
      <c r="AB52" s="120"/>
      <c r="AF52" s="120"/>
      <c r="AG52" s="120"/>
      <c r="AK52" s="403"/>
      <c r="AO52" s="211"/>
      <c r="AP52" s="211"/>
      <c r="AQ52" s="211"/>
      <c r="AR52" s="211"/>
      <c r="AS52" s="211"/>
      <c r="AT52" s="211"/>
      <c r="AU52" s="211"/>
      <c r="AV52" s="211"/>
      <c r="AW52" s="211"/>
      <c r="AX52" s="211"/>
      <c r="AY52" s="211"/>
      <c r="AZ52" s="211"/>
      <c r="BA52" s="211"/>
      <c r="BB52" s="211"/>
    </row>
    <row r="53" spans="4:54" x14ac:dyDescent="0.25">
      <c r="D53" s="120"/>
      <c r="H53" s="120"/>
      <c r="L53" s="120"/>
      <c r="P53" s="120"/>
      <c r="T53" s="120"/>
      <c r="X53" s="120"/>
      <c r="AB53" s="120"/>
      <c r="AF53" s="120"/>
      <c r="AG53" s="120"/>
      <c r="AK53" s="403"/>
    </row>
    <row r="54" spans="4:54" x14ac:dyDescent="0.25">
      <c r="D54" s="120"/>
      <c r="H54" s="120"/>
      <c r="L54" s="120"/>
      <c r="P54" s="120"/>
      <c r="T54" s="120"/>
      <c r="X54" s="120"/>
      <c r="AB54" s="120"/>
      <c r="AF54" s="120"/>
      <c r="AG54" s="120"/>
      <c r="AK54" s="403"/>
    </row>
    <row r="55" spans="4:54" x14ac:dyDescent="0.25">
      <c r="D55" s="120"/>
      <c r="H55" s="120"/>
      <c r="L55" s="120"/>
      <c r="P55" s="120"/>
      <c r="T55" s="120"/>
      <c r="X55" s="120"/>
      <c r="AB55" s="120"/>
      <c r="AF55" s="120"/>
      <c r="AG55" s="120"/>
      <c r="AK55" s="403"/>
    </row>
    <row r="56" spans="4:54" x14ac:dyDescent="0.25">
      <c r="D56" s="120"/>
      <c r="H56" s="120"/>
      <c r="L56" s="120"/>
      <c r="P56" s="120"/>
      <c r="T56" s="120"/>
      <c r="X56" s="120"/>
      <c r="AB56" s="120"/>
      <c r="AF56" s="120"/>
      <c r="AG56" s="120"/>
      <c r="AK56" s="403"/>
    </row>
    <row r="57" spans="4:54" x14ac:dyDescent="0.25">
      <c r="D57" s="120"/>
      <c r="H57" s="120"/>
      <c r="L57" s="120"/>
      <c r="P57" s="120"/>
      <c r="T57" s="120"/>
      <c r="X57" s="120"/>
      <c r="AB57" s="120"/>
      <c r="AF57" s="120"/>
      <c r="AG57" s="120"/>
      <c r="AK57" s="403"/>
    </row>
    <row r="58" spans="4:54" x14ac:dyDescent="0.25">
      <c r="D58" s="120"/>
      <c r="H58" s="120"/>
      <c r="L58" s="120"/>
      <c r="P58" s="120"/>
      <c r="T58" s="120"/>
      <c r="X58" s="120"/>
      <c r="AB58" s="120"/>
      <c r="AF58" s="120"/>
      <c r="AG58" s="120"/>
      <c r="AK58" s="403"/>
    </row>
    <row r="59" spans="4:54" x14ac:dyDescent="0.25">
      <c r="D59" s="120"/>
      <c r="H59" s="120"/>
      <c r="L59" s="120"/>
      <c r="P59" s="120"/>
      <c r="T59" s="120"/>
      <c r="X59" s="120"/>
      <c r="AB59" s="120"/>
      <c r="AF59" s="120"/>
      <c r="AG59" s="120"/>
      <c r="AK59" s="403"/>
    </row>
    <row r="60" spans="4:54" x14ac:dyDescent="0.25">
      <c r="D60" s="120"/>
      <c r="H60" s="120"/>
      <c r="L60" s="120"/>
      <c r="P60" s="120"/>
      <c r="T60" s="120"/>
      <c r="X60" s="120"/>
      <c r="AB60" s="120"/>
      <c r="AF60" s="120"/>
      <c r="AG60" s="120"/>
      <c r="AK60" s="403"/>
    </row>
    <row r="61" spans="4:54" x14ac:dyDescent="0.25">
      <c r="D61" s="120"/>
      <c r="H61" s="120"/>
      <c r="L61" s="120"/>
      <c r="P61" s="120"/>
      <c r="T61" s="120"/>
      <c r="X61" s="120"/>
      <c r="AB61" s="120"/>
      <c r="AF61" s="120"/>
      <c r="AG61" s="120"/>
      <c r="AK61" s="403"/>
    </row>
    <row r="62" spans="4:54" x14ac:dyDescent="0.25">
      <c r="D62" s="120"/>
      <c r="H62" s="120"/>
      <c r="L62" s="120"/>
      <c r="P62" s="120"/>
      <c r="T62" s="120"/>
      <c r="X62" s="120"/>
      <c r="AB62" s="120"/>
      <c r="AF62" s="120"/>
      <c r="AG62" s="120"/>
      <c r="AK62" s="403"/>
    </row>
    <row r="63" spans="4:54" x14ac:dyDescent="0.25">
      <c r="D63" s="120"/>
      <c r="H63" s="120"/>
      <c r="L63" s="120"/>
      <c r="P63" s="120"/>
      <c r="T63" s="120"/>
      <c r="X63" s="120"/>
      <c r="AB63" s="120"/>
      <c r="AF63" s="120"/>
      <c r="AG63" s="120"/>
      <c r="AK63" s="403"/>
    </row>
    <row r="64" spans="4:54"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4"/>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5" orientation="landscape" r:id="rId1"/>
  <headerFooter alignWithMargins="0">
    <oddHeader>&amp;C&amp;"-,Bold"Proposed Budget &amp; Analysis Report for FY20</oddHeader>
    <oddFooter>&amp;C&amp;D&amp;T&amp;R&amp;A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3:BA371"/>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40.85546875" style="161" customWidth="1"/>
    <col min="4" max="4" width="13.28515625" style="211" hidden="1" customWidth="1"/>
    <col min="5" max="5" width="11.42578125" style="211" hidden="1" customWidth="1"/>
    <col min="6" max="6" width="7.7109375" style="211" hidden="1" customWidth="1"/>
    <col min="7" max="7" width="2.42578125" style="211" hidden="1" customWidth="1"/>
    <col min="8" max="8" width="13.28515625" style="211" hidden="1" customWidth="1"/>
    <col min="9" max="9" width="11.42578125" style="211" hidden="1" customWidth="1"/>
    <col min="10" max="10" width="7.7109375" style="211" hidden="1" customWidth="1"/>
    <col min="11" max="11" width="2.42578125" style="211" hidden="1" customWidth="1"/>
    <col min="12" max="12" width="13.28515625" style="211" hidden="1" customWidth="1"/>
    <col min="13" max="13" width="11.42578125" style="211" hidden="1" customWidth="1"/>
    <col min="14" max="14" width="7.7109375" style="211" hidden="1" customWidth="1"/>
    <col min="15" max="15" width="2.42578125" style="211" hidden="1" customWidth="1"/>
    <col min="16" max="16" width="13.28515625" style="211" hidden="1" customWidth="1"/>
    <col min="17" max="17" width="11.42578125" style="211" hidden="1" customWidth="1"/>
    <col min="18" max="18" width="8.5703125" style="211" hidden="1" customWidth="1"/>
    <col min="19" max="19" width="2.42578125" style="211" hidden="1" customWidth="1"/>
    <col min="20" max="20" width="13.28515625" style="161" hidden="1" customWidth="1"/>
    <col min="21" max="21" width="11.42578125" style="161" hidden="1" customWidth="1"/>
    <col min="22" max="22" width="7.7109375" style="161" hidden="1" customWidth="1"/>
    <col min="23" max="23" width="2.42578125" style="161" hidden="1" customWidth="1"/>
    <col min="24" max="25" width="11.5703125" style="161" hidden="1" customWidth="1"/>
    <col min="26" max="26" width="8.5703125" style="161" hidden="1" customWidth="1"/>
    <col min="27" max="27" width="2.42578125" style="161" hidden="1" customWidth="1"/>
    <col min="28" max="29" width="11.5703125" style="161" customWidth="1"/>
    <col min="30" max="30" width="8" style="161" bestFit="1" customWidth="1"/>
    <col min="31" max="31" width="2.42578125" style="211" customWidth="1"/>
    <col min="32" max="32" width="11.5703125" style="211" hidden="1" customWidth="1"/>
    <col min="33" max="34" width="11.5703125" style="211" customWidth="1"/>
    <col min="35" max="35" width="8" style="211" bestFit="1" customWidth="1"/>
    <col min="36" max="36" width="1.85546875" style="161" customWidth="1"/>
    <col min="37" max="38" width="11.5703125" style="394" customWidth="1"/>
    <col min="39" max="39" width="8" style="394" bestFit="1" customWidth="1"/>
    <col min="40" max="40" width="2.42578125" style="394" customWidth="1"/>
    <col min="41" max="41" width="13.5703125" style="104" customWidth="1"/>
    <col min="42" max="42" width="11.7109375" style="104" customWidth="1"/>
    <col min="43" max="43" width="9.5703125" style="161" bestFit="1" customWidth="1"/>
    <col min="44" max="44" width="22.28515625" style="161" customWidth="1"/>
    <col min="45" max="16384" width="9.140625" style="161"/>
  </cols>
  <sheetData>
    <row r="3" spans="1:44"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7" t="s">
        <v>1592</v>
      </c>
      <c r="AL3" s="808"/>
      <c r="AM3" s="809"/>
      <c r="AO3" s="805" t="s">
        <v>1593</v>
      </c>
      <c r="AP3" s="805"/>
      <c r="AQ3" s="805"/>
      <c r="AR3" s="805"/>
    </row>
    <row r="4" spans="1:44" ht="27" x14ac:dyDescent="0.25">
      <c r="A4" s="271"/>
      <c r="B4" s="271"/>
      <c r="C4" s="308" t="s">
        <v>1993</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379"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03"/>
      <c r="AP5" s="103"/>
      <c r="AR5" s="111"/>
    </row>
    <row r="6" spans="1:44" x14ac:dyDescent="0.25">
      <c r="A6" s="161" t="s">
        <v>819</v>
      </c>
      <c r="B6" s="119" t="s">
        <v>401</v>
      </c>
      <c r="C6" s="161" t="s">
        <v>1721</v>
      </c>
      <c r="D6" s="245">
        <v>1149</v>
      </c>
      <c r="E6" s="245">
        <v>1188.54</v>
      </c>
      <c r="F6" s="216"/>
      <c r="G6" s="213"/>
      <c r="H6" s="245">
        <v>1220</v>
      </c>
      <c r="I6" s="245">
        <v>1168.52</v>
      </c>
      <c r="J6" s="216">
        <v>6.1792863359442993E-2</v>
      </c>
      <c r="K6" s="213"/>
      <c r="L6" s="245">
        <v>1299.78</v>
      </c>
      <c r="M6" s="245">
        <v>1299.78</v>
      </c>
      <c r="N6" s="216">
        <v>6.5393442622950798E-2</v>
      </c>
      <c r="O6" s="213"/>
      <c r="P6" s="245">
        <v>905.93</v>
      </c>
      <c r="Q6" s="245">
        <v>902.46</v>
      </c>
      <c r="R6" s="216">
        <v>-0.30301281755373988</v>
      </c>
      <c r="S6" s="213"/>
      <c r="T6" s="162">
        <v>952.39</v>
      </c>
      <c r="U6" s="162">
        <v>959.69</v>
      </c>
      <c r="V6" s="216">
        <v>5.1284315565220312E-2</v>
      </c>
      <c r="W6" s="103"/>
      <c r="X6" s="162">
        <v>1002.12</v>
      </c>
      <c r="Y6" s="162">
        <v>1002.12</v>
      </c>
      <c r="Z6" s="216">
        <v>5.2216003947962511E-2</v>
      </c>
      <c r="AA6" s="103"/>
      <c r="AB6" s="162">
        <v>1043.22</v>
      </c>
      <c r="AC6" s="162">
        <v>1043.22</v>
      </c>
      <c r="AD6" s="216">
        <f t="shared" ref="AD6:AD13" si="0">(AB6-X6)/X6</f>
        <v>4.101305232906241E-2</v>
      </c>
      <c r="AE6" s="213"/>
      <c r="AF6" s="163">
        <v>1092.29</v>
      </c>
      <c r="AG6" s="380">
        <v>1219.9100000000001</v>
      </c>
      <c r="AH6" s="245">
        <v>1219.9100000000001</v>
      </c>
      <c r="AI6" s="216">
        <f>(AG6-AB6)/AB6</f>
        <v>0.16936983570100272</v>
      </c>
      <c r="AJ6" s="80"/>
      <c r="AK6" s="398">
        <v>1286.73</v>
      </c>
      <c r="AL6" s="398">
        <v>616.25</v>
      </c>
      <c r="AM6" s="396">
        <f>(AK6-AG6)/AG6</f>
        <v>5.4774532547482956E-2</v>
      </c>
      <c r="AN6" s="397"/>
      <c r="AO6" s="163">
        <f>'FY20 Payroll Schedule'!J122</f>
        <v>1314.9180000000001</v>
      </c>
      <c r="AP6" s="162">
        <f>AO6-AK6</f>
        <v>28.188000000000102</v>
      </c>
      <c r="AQ6" s="396">
        <f>(AO6-AK6)/AK6</f>
        <v>2.1906693711967625E-2</v>
      </c>
      <c r="AR6" s="288" t="s">
        <v>1405</v>
      </c>
    </row>
    <row r="7" spans="1:44" x14ac:dyDescent="0.25">
      <c r="A7" s="214" t="s">
        <v>1071</v>
      </c>
      <c r="B7" s="119">
        <v>5142</v>
      </c>
      <c r="C7" s="161" t="s">
        <v>1455</v>
      </c>
      <c r="D7" s="245">
        <v>0</v>
      </c>
      <c r="E7" s="245">
        <v>0</v>
      </c>
      <c r="F7" s="216"/>
      <c r="G7" s="213"/>
      <c r="H7" s="245">
        <v>0</v>
      </c>
      <c r="I7" s="245">
        <v>0</v>
      </c>
      <c r="J7" s="216" t="e">
        <v>#DIV/0!</v>
      </c>
      <c r="K7" s="213"/>
      <c r="L7" s="245">
        <v>0</v>
      </c>
      <c r="M7" s="245">
        <v>0</v>
      </c>
      <c r="N7" s="216" t="e">
        <v>#DIV/0!</v>
      </c>
      <c r="O7" s="213"/>
      <c r="P7" s="245">
        <v>0</v>
      </c>
      <c r="Q7" s="245">
        <v>0</v>
      </c>
      <c r="R7" s="216" t="e">
        <v>#DIV/0!</v>
      </c>
      <c r="S7" s="213"/>
      <c r="T7" s="245">
        <v>0</v>
      </c>
      <c r="U7" s="245">
        <v>0</v>
      </c>
      <c r="V7" s="216" t="e">
        <v>#DIV/0!</v>
      </c>
      <c r="W7" s="213"/>
      <c r="X7" s="245">
        <v>10.02</v>
      </c>
      <c r="Y7" s="245">
        <v>10.02</v>
      </c>
      <c r="Z7" s="216" t="e">
        <v>#DIV/0!</v>
      </c>
      <c r="AA7" s="213"/>
      <c r="AB7" s="245">
        <v>10.43</v>
      </c>
      <c r="AC7" s="245">
        <v>10.43</v>
      </c>
      <c r="AD7" s="216">
        <f t="shared" si="0"/>
        <v>4.0918163672654703E-2</v>
      </c>
      <c r="AE7" s="213"/>
      <c r="AF7" s="163">
        <v>10.92</v>
      </c>
      <c r="AG7" s="380">
        <v>12.2</v>
      </c>
      <c r="AH7" s="245">
        <v>12.2</v>
      </c>
      <c r="AI7" s="216">
        <f t="shared" ref="AI7:AI13" si="1">(AG7-AB7)/AB7</f>
        <v>0.16970278044103543</v>
      </c>
      <c r="AJ7" s="80"/>
      <c r="AK7" s="398">
        <v>12.87</v>
      </c>
      <c r="AL7" s="398">
        <v>12.87</v>
      </c>
      <c r="AM7" s="396">
        <f>(AK7-AG7)/AG7</f>
        <v>5.4918032786885243E-2</v>
      </c>
      <c r="AN7" s="397"/>
      <c r="AO7" s="163">
        <f>'FY20 Payroll Schedule'!K122</f>
        <v>13.149180000000001</v>
      </c>
      <c r="AP7" s="398">
        <f>AO7-AK7</f>
        <v>0.27918000000000198</v>
      </c>
      <c r="AQ7" s="396">
        <f>(AO7-AK7)/AK7</f>
        <v>2.1692307692307847E-2</v>
      </c>
      <c r="AR7" s="246" t="s">
        <v>1164</v>
      </c>
    </row>
    <row r="8" spans="1:44" s="114" customFormat="1" x14ac:dyDescent="0.25">
      <c r="A8" s="224"/>
      <c r="B8" s="224"/>
      <c r="C8" s="224" t="s">
        <v>26</v>
      </c>
      <c r="D8" s="225">
        <f>SUM(D6:D6)</f>
        <v>1149</v>
      </c>
      <c r="E8" s="225">
        <f>SUM(E6:E6)</f>
        <v>1188.54</v>
      </c>
      <c r="F8" s="226">
        <v>6.54E-2</v>
      </c>
      <c r="G8" s="224"/>
      <c r="H8" s="225">
        <f>SUM(H6:H7)</f>
        <v>1220</v>
      </c>
      <c r="I8" s="225">
        <f>SUM(I6:I7)</f>
        <v>1168.52</v>
      </c>
      <c r="J8" s="226">
        <f>(H8-D8)/D8</f>
        <v>6.1792863359442993E-2</v>
      </c>
      <c r="K8" s="224"/>
      <c r="L8" s="225">
        <f>SUM(L6:L7)</f>
        <v>1299.78</v>
      </c>
      <c r="M8" s="225">
        <f>SUM(M6:M7)</f>
        <v>1299.78</v>
      </c>
      <c r="N8" s="226">
        <f>(L8-H8)/H8</f>
        <v>6.5393442622950798E-2</v>
      </c>
      <c r="O8" s="224"/>
      <c r="P8" s="225">
        <f>SUM(P6:P7)</f>
        <v>905.93</v>
      </c>
      <c r="Q8" s="225">
        <f>SUM(Q6:Q7)</f>
        <v>902.46</v>
      </c>
      <c r="R8" s="226">
        <f>(P8-L8)/L8</f>
        <v>-0.30301281755373988</v>
      </c>
      <c r="S8" s="224"/>
      <c r="T8" s="225">
        <f>SUM(T6:T7)</f>
        <v>952.39</v>
      </c>
      <c r="U8" s="225">
        <f>SUM(U6:U7)</f>
        <v>959.69</v>
      </c>
      <c r="V8" s="226">
        <f>(T8-P8)/P8</f>
        <v>5.1284315565220312E-2</v>
      </c>
      <c r="W8" s="224"/>
      <c r="X8" s="225">
        <f>SUM(X6:X7)</f>
        <v>1012.14</v>
      </c>
      <c r="Y8" s="225">
        <f>SUM(Y6:Y7)</f>
        <v>1012.14</v>
      </c>
      <c r="Z8" s="226">
        <f>(X8-T8)/T8</f>
        <v>6.2736903999412008E-2</v>
      </c>
      <c r="AA8" s="224"/>
      <c r="AB8" s="225">
        <f>SUM(AB6:AB7)</f>
        <v>1053.6500000000001</v>
      </c>
      <c r="AC8" s="225">
        <f>SUM(AC6:AC7)</f>
        <v>1053.6500000000001</v>
      </c>
      <c r="AD8" s="226">
        <f>(AB8-X8)/X8</f>
        <v>4.1012112948801652E-2</v>
      </c>
      <c r="AE8" s="224"/>
      <c r="AF8" s="227">
        <f>SUM(AF6:AF7)</f>
        <v>1103.21</v>
      </c>
      <c r="AG8" s="381">
        <f>SUM(AG6:AG7)</f>
        <v>1232.1100000000001</v>
      </c>
      <c r="AH8" s="225">
        <f>SUM(AH6:AH7)</f>
        <v>1232.1100000000001</v>
      </c>
      <c r="AI8" s="226">
        <f t="shared" si="1"/>
        <v>0.16937313149527833</v>
      </c>
      <c r="AJ8" s="226"/>
      <c r="AK8" s="225">
        <f>SUM(AK6:AK7)</f>
        <v>1299.5999999999999</v>
      </c>
      <c r="AL8" s="225">
        <f>SUM(AL6:AL7)</f>
        <v>629.12</v>
      </c>
      <c r="AM8" s="226">
        <f>(AK8-AG8)/AG8</f>
        <v>5.4775953445714891E-2</v>
      </c>
      <c r="AN8" s="224"/>
      <c r="AO8" s="227">
        <f>SUM(AO6:AO7)</f>
        <v>1328.06718</v>
      </c>
      <c r="AP8" s="227">
        <f>SUM(AP6:AP7)</f>
        <v>28.467180000000106</v>
      </c>
      <c r="AQ8" s="226">
        <f>(AO8-AK8)/AK8</f>
        <v>2.1904570637119192E-2</v>
      </c>
      <c r="AR8" s="224"/>
    </row>
    <row r="9" spans="1:44" x14ac:dyDescent="0.25">
      <c r="D9" s="112"/>
      <c r="E9" s="112"/>
      <c r="H9" s="112"/>
      <c r="I9" s="112"/>
      <c r="L9" s="112"/>
      <c r="M9" s="112"/>
      <c r="P9" s="112"/>
      <c r="Q9" s="112"/>
      <c r="T9" s="112"/>
      <c r="U9" s="112"/>
      <c r="V9" s="211"/>
      <c r="X9" s="112"/>
      <c r="Y9" s="112"/>
      <c r="Z9" s="211"/>
      <c r="AB9" s="112"/>
      <c r="AC9" s="112"/>
      <c r="AD9" s="211"/>
      <c r="AF9" s="212"/>
      <c r="AG9" s="212"/>
      <c r="AH9" s="112"/>
      <c r="AK9" s="112"/>
      <c r="AL9" s="112"/>
      <c r="AP9" s="112"/>
      <c r="AQ9" s="394"/>
    </row>
    <row r="10" spans="1:44" x14ac:dyDescent="0.25">
      <c r="C10" s="111" t="s">
        <v>277</v>
      </c>
      <c r="D10" s="112"/>
      <c r="E10" s="112"/>
      <c r="H10" s="112"/>
      <c r="I10" s="112"/>
      <c r="L10" s="112"/>
      <c r="M10" s="112"/>
      <c r="P10" s="112"/>
      <c r="Q10" s="112"/>
      <c r="T10" s="112"/>
      <c r="U10" s="112"/>
      <c r="V10" s="211"/>
      <c r="X10" s="112"/>
      <c r="Y10" s="112"/>
      <c r="Z10" s="211"/>
      <c r="AB10" s="112"/>
      <c r="AC10" s="112"/>
      <c r="AD10" s="211"/>
      <c r="AF10" s="212"/>
      <c r="AG10" s="212"/>
      <c r="AH10" s="112"/>
      <c r="AK10" s="112"/>
      <c r="AL10" s="112"/>
      <c r="AP10" s="112"/>
      <c r="AQ10" s="394"/>
      <c r="AR10" s="111"/>
    </row>
    <row r="11" spans="1:44" x14ac:dyDescent="0.25">
      <c r="A11" s="161" t="s">
        <v>820</v>
      </c>
      <c r="B11" s="119" t="s">
        <v>304</v>
      </c>
      <c r="C11" s="161" t="s">
        <v>1602</v>
      </c>
      <c r="D11" s="245">
        <v>1000</v>
      </c>
      <c r="E11" s="245">
        <v>706</v>
      </c>
      <c r="F11" s="216"/>
      <c r="G11" s="213"/>
      <c r="H11" s="245">
        <v>1000</v>
      </c>
      <c r="I11" s="245">
        <v>1055.1099999999999</v>
      </c>
      <c r="J11" s="216">
        <v>0</v>
      </c>
      <c r="K11" s="213"/>
      <c r="L11" s="245">
        <v>1000</v>
      </c>
      <c r="M11" s="245">
        <v>864.77</v>
      </c>
      <c r="N11" s="216">
        <v>0</v>
      </c>
      <c r="O11" s="213"/>
      <c r="P11" s="245">
        <v>1000</v>
      </c>
      <c r="Q11" s="245">
        <v>0</v>
      </c>
      <c r="R11" s="216">
        <v>0</v>
      </c>
      <c r="S11" s="213"/>
      <c r="T11" s="245">
        <v>1000</v>
      </c>
      <c r="U11" s="245">
        <v>28.43</v>
      </c>
      <c r="V11" s="216">
        <v>0</v>
      </c>
      <c r="W11" s="213"/>
      <c r="X11" s="245">
        <v>1000</v>
      </c>
      <c r="Y11" s="245">
        <v>80</v>
      </c>
      <c r="Z11" s="216">
        <v>0</v>
      </c>
      <c r="AA11" s="213"/>
      <c r="AB11" s="245">
        <v>1000</v>
      </c>
      <c r="AC11" s="245">
        <v>255</v>
      </c>
      <c r="AD11" s="216">
        <f t="shared" si="0"/>
        <v>0</v>
      </c>
      <c r="AE11" s="213"/>
      <c r="AF11" s="245">
        <v>1000</v>
      </c>
      <c r="AG11" s="245">
        <v>1000</v>
      </c>
      <c r="AH11" s="245">
        <v>0</v>
      </c>
      <c r="AI11" s="216">
        <f t="shared" si="1"/>
        <v>0</v>
      </c>
      <c r="AJ11" s="80"/>
      <c r="AK11" s="398">
        <v>1000</v>
      </c>
      <c r="AL11" s="398"/>
      <c r="AM11" s="396">
        <f>(AK11-AG11)/AG11</f>
        <v>0</v>
      </c>
      <c r="AN11" s="397"/>
      <c r="AO11" s="163">
        <v>1000</v>
      </c>
      <c r="AP11" s="245">
        <f>AO11-AK11</f>
        <v>0</v>
      </c>
      <c r="AQ11" s="396">
        <f>(AO11-AK11)/AK11</f>
        <v>0</v>
      </c>
      <c r="AR11" s="166"/>
    </row>
    <row r="12" spans="1:44" x14ac:dyDescent="0.25">
      <c r="A12" s="161" t="s">
        <v>821</v>
      </c>
      <c r="B12" s="119" t="s">
        <v>312</v>
      </c>
      <c r="C12" s="161" t="s">
        <v>1594</v>
      </c>
      <c r="D12" s="245">
        <v>300</v>
      </c>
      <c r="E12" s="245">
        <v>310</v>
      </c>
      <c r="F12" s="216"/>
      <c r="G12" s="213"/>
      <c r="H12" s="245">
        <v>350</v>
      </c>
      <c r="I12" s="245">
        <v>200</v>
      </c>
      <c r="J12" s="216">
        <v>0.16666666666666666</v>
      </c>
      <c r="K12" s="213"/>
      <c r="L12" s="245">
        <v>350</v>
      </c>
      <c r="M12" s="245">
        <v>100</v>
      </c>
      <c r="N12" s="216">
        <v>0</v>
      </c>
      <c r="O12" s="213"/>
      <c r="P12" s="245">
        <v>350</v>
      </c>
      <c r="Q12" s="245">
        <v>100</v>
      </c>
      <c r="R12" s="216">
        <v>0</v>
      </c>
      <c r="S12" s="213"/>
      <c r="T12" s="245">
        <v>350</v>
      </c>
      <c r="U12" s="245">
        <v>105</v>
      </c>
      <c r="V12" s="216">
        <v>0</v>
      </c>
      <c r="W12" s="213"/>
      <c r="X12" s="245">
        <v>350</v>
      </c>
      <c r="Y12" s="245">
        <v>0</v>
      </c>
      <c r="Z12" s="216">
        <v>0</v>
      </c>
      <c r="AA12" s="213"/>
      <c r="AB12" s="245">
        <v>350</v>
      </c>
      <c r="AC12" s="245">
        <v>50</v>
      </c>
      <c r="AD12" s="216">
        <f t="shared" si="0"/>
        <v>0</v>
      </c>
      <c r="AE12" s="213"/>
      <c r="AF12" s="245">
        <v>350</v>
      </c>
      <c r="AG12" s="245">
        <v>350</v>
      </c>
      <c r="AH12" s="245">
        <v>100</v>
      </c>
      <c r="AI12" s="216">
        <f t="shared" si="1"/>
        <v>0</v>
      </c>
      <c r="AJ12" s="80"/>
      <c r="AK12" s="398">
        <v>350</v>
      </c>
      <c r="AL12" s="398"/>
      <c r="AM12" s="396">
        <f>(AK12-AG12)/AG12</f>
        <v>0</v>
      </c>
      <c r="AN12" s="397"/>
      <c r="AO12" s="163">
        <v>350</v>
      </c>
      <c r="AP12" s="398">
        <f>AO12-AK12</f>
        <v>0</v>
      </c>
      <c r="AQ12" s="396">
        <f>(AO12-AK12)/AK12</f>
        <v>0</v>
      </c>
      <c r="AR12" s="166"/>
    </row>
    <row r="13" spans="1:44" s="114" customFormat="1" x14ac:dyDescent="0.25">
      <c r="A13" s="219"/>
      <c r="B13" s="219"/>
      <c r="C13" s="219" t="s">
        <v>279</v>
      </c>
      <c r="D13" s="220">
        <f>SUM(D11:D12)</f>
        <v>1300</v>
      </c>
      <c r="E13" s="220">
        <f>SUM(E11:E12)</f>
        <v>1016</v>
      </c>
      <c r="F13" s="221">
        <v>0</v>
      </c>
      <c r="G13" s="219"/>
      <c r="H13" s="220">
        <f>SUM(H11:H12)</f>
        <v>1350</v>
      </c>
      <c r="I13" s="220">
        <f>SUM(I11:I12)</f>
        <v>1255.1099999999999</v>
      </c>
      <c r="J13" s="221">
        <f>(H13-D13)/D13</f>
        <v>3.8461538461538464E-2</v>
      </c>
      <c r="K13" s="219"/>
      <c r="L13" s="220">
        <f>SUM(L11:L12)</f>
        <v>1350</v>
      </c>
      <c r="M13" s="220">
        <f>SUM(M11:M12)</f>
        <v>964.77</v>
      </c>
      <c r="N13" s="221">
        <f>(L13-H13)/H13</f>
        <v>0</v>
      </c>
      <c r="O13" s="219"/>
      <c r="P13" s="220">
        <f>SUM(P11:P12)</f>
        <v>1350</v>
      </c>
      <c r="Q13" s="220">
        <f>SUM(Q11:Q12)</f>
        <v>100</v>
      </c>
      <c r="R13" s="221">
        <f>(P13-L13)/L13</f>
        <v>0</v>
      </c>
      <c r="S13" s="219"/>
      <c r="T13" s="220">
        <f>SUM(T11:T12)</f>
        <v>1350</v>
      </c>
      <c r="U13" s="220">
        <f>SUM(U11:U12)</f>
        <v>133.43</v>
      </c>
      <c r="V13" s="221">
        <f>(T13-P13)/P13</f>
        <v>0</v>
      </c>
      <c r="W13" s="219"/>
      <c r="X13" s="220">
        <f>SUM(X11:X12)</f>
        <v>1350</v>
      </c>
      <c r="Y13" s="220">
        <f>SUM(Y11:Y12)</f>
        <v>80</v>
      </c>
      <c r="Z13" s="221">
        <f>(X13-T13)/T13</f>
        <v>0</v>
      </c>
      <c r="AA13" s="219"/>
      <c r="AB13" s="220">
        <f>SUM(AB11:AB12)</f>
        <v>1350</v>
      </c>
      <c r="AC13" s="220">
        <f>SUM(AC11:AC12)</f>
        <v>305</v>
      </c>
      <c r="AD13" s="221">
        <f t="shared" si="0"/>
        <v>0</v>
      </c>
      <c r="AE13" s="219"/>
      <c r="AF13" s="220">
        <f>SUM(AF11:AF12)</f>
        <v>1350</v>
      </c>
      <c r="AG13" s="220">
        <f>SUM(AG11:AG12)</f>
        <v>1350</v>
      </c>
      <c r="AH13" s="220">
        <f>SUM(AH11:AH12)</f>
        <v>100</v>
      </c>
      <c r="AI13" s="221">
        <f t="shared" si="1"/>
        <v>0</v>
      </c>
      <c r="AJ13" s="221"/>
      <c r="AK13" s="401">
        <f>SUM(AK11:AK12)</f>
        <v>1350</v>
      </c>
      <c r="AL13" s="401">
        <f>SUM(AL11:AL12)</f>
        <v>0</v>
      </c>
      <c r="AM13" s="221">
        <f>(AK13-AG13)/AG13</f>
        <v>0</v>
      </c>
      <c r="AN13" s="219"/>
      <c r="AO13" s="223">
        <f>SUM(AO11:AO12)</f>
        <v>1350</v>
      </c>
      <c r="AP13" s="223">
        <f>SUM(AP11:AP12)</f>
        <v>0</v>
      </c>
      <c r="AQ13" s="221">
        <f>(AO13-AK13)/AK13</f>
        <v>0</v>
      </c>
      <c r="AR13" s="219"/>
    </row>
    <row r="14" spans="1:44" s="211" customFormat="1" x14ac:dyDescent="0.25">
      <c r="D14" s="112"/>
      <c r="E14" s="112"/>
      <c r="F14" s="216"/>
      <c r="G14" s="213"/>
      <c r="H14" s="112"/>
      <c r="I14" s="112"/>
      <c r="J14" s="216"/>
      <c r="K14" s="213"/>
      <c r="L14" s="112"/>
      <c r="M14" s="112"/>
      <c r="N14" s="216"/>
      <c r="O14" s="213"/>
      <c r="P14" s="112"/>
      <c r="Q14" s="112"/>
      <c r="R14" s="216"/>
      <c r="S14" s="213"/>
      <c r="T14" s="112"/>
      <c r="U14" s="112"/>
      <c r="V14" s="216"/>
      <c r="W14" s="213"/>
      <c r="X14" s="112"/>
      <c r="Y14" s="112"/>
      <c r="Z14" s="216"/>
      <c r="AA14" s="213"/>
      <c r="AB14" s="112"/>
      <c r="AC14" s="112"/>
      <c r="AD14" s="216"/>
      <c r="AE14" s="213"/>
      <c r="AF14" s="112"/>
      <c r="AG14" s="112"/>
      <c r="AH14" s="112"/>
      <c r="AI14" s="216"/>
      <c r="AJ14" s="216"/>
      <c r="AK14" s="112"/>
      <c r="AL14" s="112"/>
      <c r="AM14" s="396"/>
      <c r="AN14" s="397"/>
      <c r="AO14" s="212"/>
      <c r="AP14" s="212"/>
      <c r="AQ14" s="396"/>
    </row>
    <row r="15" spans="1:44" s="114" customFormat="1" ht="12.75" x14ac:dyDescent="0.2">
      <c r="A15" s="228"/>
      <c r="B15" s="228"/>
      <c r="C15" s="233" t="s">
        <v>280</v>
      </c>
      <c r="D15" s="230">
        <f>D8+D13</f>
        <v>2449</v>
      </c>
      <c r="E15" s="230">
        <f>E8+E13</f>
        <v>2204.54</v>
      </c>
      <c r="F15" s="231">
        <v>3.1E-2</v>
      </c>
      <c r="G15" s="228"/>
      <c r="H15" s="230">
        <f>H8+H13</f>
        <v>2570</v>
      </c>
      <c r="I15" s="230">
        <f>I8+I13</f>
        <v>2423.63</v>
      </c>
      <c r="J15" s="231">
        <f>(H15-D15)/D15</f>
        <v>4.9407921600653326E-2</v>
      </c>
      <c r="K15" s="228"/>
      <c r="L15" s="230">
        <f>L8+L13</f>
        <v>2649.7799999999997</v>
      </c>
      <c r="M15" s="230">
        <f>M8+M13</f>
        <v>2264.5500000000002</v>
      </c>
      <c r="N15" s="231">
        <f>(L15-H15)/H15</f>
        <v>3.1042801556420134E-2</v>
      </c>
      <c r="O15" s="228"/>
      <c r="P15" s="230">
        <f>P8+P13</f>
        <v>2255.9299999999998</v>
      </c>
      <c r="Q15" s="230">
        <f>Q8+Q13</f>
        <v>1002.46</v>
      </c>
      <c r="R15" s="231">
        <f>(P15-L15)/L15</f>
        <v>-0.14863498101729197</v>
      </c>
      <c r="S15" s="228"/>
      <c r="T15" s="230">
        <f>T8+T13</f>
        <v>2302.39</v>
      </c>
      <c r="U15" s="230">
        <f>U8+U13</f>
        <v>1093.1200000000001</v>
      </c>
      <c r="V15" s="231">
        <f>(T15-P15)/P15</f>
        <v>2.0594610648380064E-2</v>
      </c>
      <c r="W15" s="228"/>
      <c r="X15" s="230">
        <f>X8+X13</f>
        <v>2362.14</v>
      </c>
      <c r="Y15" s="230">
        <f>Y8+Y13</f>
        <v>1092.1399999999999</v>
      </c>
      <c r="Z15" s="231">
        <f>(X15-T15)/T15</f>
        <v>2.5951294090054249E-2</v>
      </c>
      <c r="AA15" s="228"/>
      <c r="AB15" s="230">
        <f>AB8+AB13</f>
        <v>2403.65</v>
      </c>
      <c r="AC15" s="230">
        <f>AC8+AC13</f>
        <v>1358.65</v>
      </c>
      <c r="AD15" s="231">
        <f>(AB15-X15)/X15</f>
        <v>1.757304816818657E-2</v>
      </c>
      <c r="AE15" s="228"/>
      <c r="AF15" s="230">
        <f>AF8+AF13</f>
        <v>2453.21</v>
      </c>
      <c r="AG15" s="382">
        <f>AG8+AG13</f>
        <v>2582.11</v>
      </c>
      <c r="AH15" s="230">
        <f>AH8+AH13</f>
        <v>1332.1100000000001</v>
      </c>
      <c r="AI15" s="231">
        <f>(AG15-AB15)/AB15</f>
        <v>7.4245418426143586E-2</v>
      </c>
      <c r="AJ15" s="231"/>
      <c r="AK15" s="402">
        <f>AK8+AK13</f>
        <v>2649.6</v>
      </c>
      <c r="AL15" s="402">
        <f>AL8+AL13</f>
        <v>629.12</v>
      </c>
      <c r="AM15" s="231">
        <f>(AK15-AG15)/AG15</f>
        <v>2.6137538679606904E-2</v>
      </c>
      <c r="AN15" s="228"/>
      <c r="AO15" s="232">
        <f>SUM(AO8+AO13)</f>
        <v>2678.06718</v>
      </c>
      <c r="AP15" s="232">
        <f>SUM(AP8+AP13)</f>
        <v>28.467180000000106</v>
      </c>
      <c r="AQ15" s="231">
        <f>(AO15-AK15)/AK15</f>
        <v>1.0743953804347863E-2</v>
      </c>
      <c r="AR15" s="233"/>
    </row>
    <row r="16" spans="1:44" x14ac:dyDescent="0.25">
      <c r="D16" s="120"/>
      <c r="H16" s="120"/>
      <c r="L16" s="120"/>
      <c r="P16" s="120"/>
      <c r="T16" s="120"/>
      <c r="V16" s="211"/>
      <c r="X16" s="120"/>
      <c r="Z16" s="211"/>
      <c r="AB16" s="120"/>
      <c r="AD16" s="211"/>
      <c r="AF16" s="120"/>
      <c r="AG16" s="120"/>
      <c r="AK16" s="403"/>
      <c r="AO16" s="279"/>
      <c r="AQ16" s="216"/>
    </row>
    <row r="17" spans="3:53" s="111" customFormat="1" thickBot="1" x14ac:dyDescent="0.25">
      <c r="C17" s="111" t="s">
        <v>281</v>
      </c>
      <c r="D17" s="122"/>
      <c r="E17" s="121">
        <f>D15-E15</f>
        <v>244.46000000000004</v>
      </c>
      <c r="H17" s="122"/>
      <c r="I17" s="121">
        <f>H15-I15</f>
        <v>146.36999999999989</v>
      </c>
      <c r="L17" s="122"/>
      <c r="M17" s="121">
        <f>L15-M15</f>
        <v>385.22999999999956</v>
      </c>
      <c r="P17" s="122"/>
      <c r="Q17" s="121">
        <f>P15-Q15</f>
        <v>1253.4699999999998</v>
      </c>
      <c r="T17" s="122"/>
      <c r="U17" s="121">
        <f>T15-U15</f>
        <v>1209.2699999999998</v>
      </c>
      <c r="X17" s="122"/>
      <c r="Y17" s="121">
        <f>X15-Y15</f>
        <v>1270</v>
      </c>
      <c r="AB17" s="122"/>
      <c r="AC17" s="121">
        <f>AB15-AC15</f>
        <v>1045</v>
      </c>
      <c r="AF17" s="122"/>
      <c r="AG17" s="122"/>
      <c r="AH17" s="121">
        <f>AG15-AH15</f>
        <v>1250</v>
      </c>
      <c r="AK17" s="122"/>
      <c r="AL17" s="121">
        <f>AK15-AL15</f>
        <v>2020.48</v>
      </c>
      <c r="AO17" s="123"/>
      <c r="AP17" s="123"/>
    </row>
    <row r="18" spans="3:53" ht="14.25" thickTop="1" x14ac:dyDescent="0.25">
      <c r="D18" s="120"/>
      <c r="F18" s="216"/>
      <c r="H18" s="120"/>
      <c r="J18" s="216"/>
      <c r="L18" s="120"/>
      <c r="N18" s="216"/>
      <c r="P18" s="120"/>
      <c r="R18" s="216"/>
      <c r="T18" s="120"/>
      <c r="V18" s="80"/>
      <c r="X18" s="120"/>
      <c r="AB18" s="120"/>
      <c r="AF18" s="120"/>
      <c r="AG18" s="120"/>
      <c r="AK18" s="403"/>
      <c r="AO18" s="240" t="s">
        <v>1195</v>
      </c>
      <c r="AP18" s="241"/>
      <c r="AQ18" s="242"/>
      <c r="AS18" s="111"/>
      <c r="AT18" s="111"/>
      <c r="AU18" s="111"/>
      <c r="AV18" s="111"/>
      <c r="AW18" s="211"/>
      <c r="AX18" s="211"/>
      <c r="AY18" s="211"/>
      <c r="AZ18" s="211"/>
      <c r="BA18" s="211"/>
    </row>
    <row r="19" spans="3:53" x14ac:dyDescent="0.25">
      <c r="F19" s="216"/>
      <c r="J19" s="216"/>
      <c r="N19" s="216"/>
      <c r="R19" s="216"/>
      <c r="V19" s="80"/>
      <c r="AO19" s="243" t="s">
        <v>313</v>
      </c>
      <c r="AP19" s="5"/>
      <c r="AQ19" s="299">
        <f>AO8*0.0145</f>
        <v>19.256974110000002</v>
      </c>
      <c r="AR19" s="211"/>
      <c r="AS19" s="211"/>
      <c r="AT19" s="211"/>
      <c r="AU19" s="211"/>
      <c r="AV19" s="211"/>
      <c r="AW19" s="211"/>
      <c r="AX19" s="211"/>
      <c r="AY19" s="211"/>
      <c r="AZ19" s="211"/>
      <c r="BA19" s="211"/>
    </row>
    <row r="20" spans="3:53" x14ac:dyDescent="0.25">
      <c r="F20" s="216"/>
      <c r="J20" s="216"/>
      <c r="N20" s="216"/>
      <c r="R20" s="216"/>
      <c r="V20" s="80"/>
      <c r="AO20" s="210" t="s">
        <v>314</v>
      </c>
      <c r="AP20" s="5"/>
      <c r="AQ20" s="299">
        <f>AO8*0.0009</f>
        <v>1.195260462</v>
      </c>
      <c r="AR20" s="211"/>
      <c r="AS20" s="213"/>
      <c r="AT20" s="213"/>
      <c r="AU20" s="213"/>
      <c r="AV20" s="213"/>
      <c r="AW20" s="211"/>
      <c r="AX20" s="211"/>
      <c r="AY20" s="211"/>
      <c r="AZ20" s="211"/>
      <c r="BA20" s="211"/>
    </row>
    <row r="21" spans="3:53" x14ac:dyDescent="0.25">
      <c r="F21" s="216"/>
      <c r="J21" s="216"/>
      <c r="N21" s="216"/>
      <c r="R21" s="216"/>
      <c r="V21" s="80"/>
      <c r="AO21" s="210" t="s">
        <v>315</v>
      </c>
      <c r="AP21" s="5"/>
      <c r="AQ21" s="299">
        <f>AO8*0.003</f>
        <v>3.9842015399999999</v>
      </c>
      <c r="AR21" s="211"/>
      <c r="AS21" s="211"/>
      <c r="AT21" s="211"/>
      <c r="AU21" s="211"/>
      <c r="AV21" s="211"/>
      <c r="AW21" s="211"/>
      <c r="AX21" s="211"/>
      <c r="AY21" s="211"/>
      <c r="AZ21" s="211"/>
      <c r="BA21" s="211"/>
    </row>
    <row r="22" spans="3:53" x14ac:dyDescent="0.25">
      <c r="F22" s="216"/>
      <c r="J22" s="216"/>
      <c r="N22" s="216"/>
      <c r="R22" s="216"/>
      <c r="V22" s="80"/>
      <c r="AO22" s="210" t="s">
        <v>316</v>
      </c>
      <c r="AP22" s="5"/>
      <c r="AQ22" s="299">
        <f>'County Retirement'!G30</f>
        <v>162.42640366160353</v>
      </c>
      <c r="AR22" s="211"/>
      <c r="AS22" s="147"/>
      <c r="AT22" s="147"/>
      <c r="AU22" s="147"/>
      <c r="AV22" s="147"/>
      <c r="AW22" s="211"/>
      <c r="AX22" s="211"/>
      <c r="AY22" s="211"/>
      <c r="AZ22" s="211"/>
      <c r="BA22" s="211"/>
    </row>
    <row r="23" spans="3:53" x14ac:dyDescent="0.25">
      <c r="F23" s="216"/>
      <c r="J23" s="216"/>
      <c r="N23" s="216"/>
      <c r="R23" s="216"/>
      <c r="V23" s="80"/>
      <c r="AO23" s="210" t="s">
        <v>317</v>
      </c>
      <c r="AP23" s="5"/>
      <c r="AQ23" s="300" t="s">
        <v>1093</v>
      </c>
      <c r="AR23" s="211"/>
      <c r="AS23" s="211"/>
      <c r="AT23" s="211"/>
      <c r="AU23" s="211"/>
      <c r="AV23" s="211"/>
      <c r="AW23" s="211"/>
      <c r="AX23" s="211"/>
      <c r="AY23" s="211"/>
      <c r="AZ23" s="211"/>
      <c r="BA23" s="211"/>
    </row>
    <row r="24" spans="3:53" x14ac:dyDescent="0.25">
      <c r="F24" s="216"/>
      <c r="J24" s="216"/>
      <c r="N24" s="216"/>
      <c r="R24" s="216"/>
      <c r="V24" s="80"/>
      <c r="AO24" s="235"/>
      <c r="AP24" s="237"/>
      <c r="AQ24" s="301">
        <f>SUM(AQ19:AQ23)</f>
        <v>186.86283977360353</v>
      </c>
      <c r="AR24" s="211"/>
      <c r="AS24" s="114"/>
      <c r="AT24" s="114"/>
      <c r="AU24" s="114"/>
      <c r="AV24" s="114"/>
      <c r="AW24" s="211"/>
      <c r="AX24" s="211"/>
      <c r="AY24" s="211"/>
      <c r="AZ24" s="211"/>
      <c r="BA24" s="211"/>
    </row>
    <row r="25" spans="3:53" x14ac:dyDescent="0.25">
      <c r="F25" s="216"/>
      <c r="J25" s="216"/>
      <c r="N25" s="216"/>
      <c r="R25" s="216"/>
      <c r="V25" s="80"/>
      <c r="AO25" s="212"/>
      <c r="AP25" s="212"/>
      <c r="AQ25" s="211"/>
      <c r="AR25" s="211"/>
      <c r="AS25" s="211"/>
      <c r="AT25" s="211"/>
      <c r="AU25" s="211"/>
      <c r="AV25" s="211"/>
      <c r="AW25" s="211"/>
      <c r="AX25" s="211"/>
      <c r="AY25" s="211"/>
      <c r="AZ25" s="211"/>
      <c r="BA25" s="211"/>
    </row>
    <row r="26" spans="3:53" x14ac:dyDescent="0.25">
      <c r="D26" s="120"/>
      <c r="F26" s="216"/>
      <c r="H26" s="120"/>
      <c r="J26" s="216"/>
      <c r="L26" s="120"/>
      <c r="N26" s="216"/>
      <c r="P26" s="120"/>
      <c r="R26" s="216"/>
      <c r="T26" s="120"/>
      <c r="V26" s="80"/>
      <c r="X26" s="120"/>
      <c r="AB26" s="120"/>
      <c r="AF26" s="120"/>
      <c r="AG26" s="120"/>
      <c r="AK26" s="403"/>
      <c r="AO26" s="394" t="s">
        <v>1767</v>
      </c>
      <c r="AP26" s="212"/>
      <c r="AQ26" s="211"/>
      <c r="AR26" s="211"/>
      <c r="AS26" s="211"/>
      <c r="AT26" s="211"/>
      <c r="AU26" s="211"/>
      <c r="AV26" s="211"/>
      <c r="AW26" s="211"/>
      <c r="AX26" s="211"/>
      <c r="AY26" s="211"/>
      <c r="AZ26" s="211"/>
      <c r="BA26" s="211"/>
    </row>
    <row r="27" spans="3:53" x14ac:dyDescent="0.25">
      <c r="D27" s="120"/>
      <c r="F27" s="216"/>
      <c r="H27" s="120"/>
      <c r="J27" s="216"/>
      <c r="L27" s="120"/>
      <c r="N27" s="216"/>
      <c r="P27" s="120"/>
      <c r="R27" s="216"/>
      <c r="T27" s="120"/>
      <c r="V27" s="80"/>
      <c r="X27" s="120"/>
      <c r="AB27" s="120"/>
      <c r="AF27" s="120"/>
      <c r="AG27" s="120"/>
      <c r="AK27" s="403"/>
      <c r="AO27" s="131"/>
      <c r="AP27" s="131"/>
      <c r="AQ27" s="211"/>
      <c r="AR27" s="211"/>
      <c r="AS27" s="211"/>
      <c r="AT27" s="211"/>
      <c r="AU27" s="211"/>
      <c r="AV27" s="211"/>
      <c r="AW27" s="211"/>
      <c r="AX27" s="211"/>
      <c r="AY27" s="211"/>
      <c r="AZ27" s="211"/>
      <c r="BA27" s="211"/>
    </row>
    <row r="28" spans="3:53" x14ac:dyDescent="0.25">
      <c r="D28" s="120"/>
      <c r="F28" s="216"/>
      <c r="H28" s="120"/>
      <c r="J28" s="216"/>
      <c r="L28" s="120"/>
      <c r="N28" s="216"/>
      <c r="P28" s="120"/>
      <c r="R28" s="216"/>
      <c r="T28" s="120"/>
      <c r="V28" s="80"/>
      <c r="X28" s="120"/>
      <c r="AB28" s="120"/>
      <c r="AF28" s="120"/>
      <c r="AG28" s="120"/>
      <c r="AK28" s="403"/>
      <c r="AO28" s="131"/>
      <c r="AP28" s="131"/>
      <c r="AQ28" s="211"/>
      <c r="AR28" s="211"/>
      <c r="AS28" s="211"/>
      <c r="AT28" s="211"/>
      <c r="AU28" s="211"/>
      <c r="AV28" s="211"/>
      <c r="AW28" s="211"/>
      <c r="AX28" s="211"/>
      <c r="AY28" s="211"/>
      <c r="AZ28" s="211"/>
      <c r="BA28" s="211"/>
    </row>
    <row r="29" spans="3:53" x14ac:dyDescent="0.25">
      <c r="D29" s="120"/>
      <c r="F29" s="216"/>
      <c r="H29" s="120"/>
      <c r="J29" s="216"/>
      <c r="L29" s="120"/>
      <c r="N29" s="216"/>
      <c r="P29" s="120"/>
      <c r="R29" s="216"/>
      <c r="T29" s="120"/>
      <c r="V29" s="80"/>
      <c r="X29" s="120"/>
      <c r="AB29" s="120"/>
      <c r="AF29" s="120"/>
      <c r="AG29" s="120"/>
      <c r="AK29" s="403"/>
      <c r="AO29" s="212"/>
      <c r="AP29" s="212"/>
      <c r="AQ29" s="211"/>
      <c r="AR29" s="211"/>
      <c r="AS29" s="211"/>
      <c r="AT29" s="211"/>
      <c r="AU29" s="211"/>
      <c r="AV29" s="211"/>
      <c r="AW29" s="211"/>
      <c r="AX29" s="211"/>
      <c r="AY29" s="211"/>
      <c r="AZ29" s="211"/>
      <c r="BA29" s="211"/>
    </row>
    <row r="30" spans="3:53" x14ac:dyDescent="0.25">
      <c r="D30" s="120"/>
      <c r="F30" s="216"/>
      <c r="H30" s="120"/>
      <c r="J30" s="216"/>
      <c r="L30" s="120"/>
      <c r="N30" s="216"/>
      <c r="P30" s="120"/>
      <c r="R30" s="216"/>
      <c r="T30" s="120"/>
      <c r="V30" s="80"/>
      <c r="X30" s="120"/>
      <c r="AB30" s="120"/>
      <c r="AF30" s="120"/>
      <c r="AG30" s="120"/>
      <c r="AK30" s="403"/>
      <c r="AO30" s="131"/>
      <c r="AP30" s="211"/>
      <c r="AQ30" s="211"/>
      <c r="AR30" s="211"/>
      <c r="AS30" s="211"/>
      <c r="AT30" s="211"/>
      <c r="AU30" s="211"/>
      <c r="AV30" s="211"/>
      <c r="AW30" s="211"/>
      <c r="AX30" s="211"/>
      <c r="AY30" s="211"/>
      <c r="AZ30" s="211"/>
      <c r="BA30" s="211"/>
    </row>
    <row r="31" spans="3:53" x14ac:dyDescent="0.25">
      <c r="D31" s="120"/>
      <c r="F31" s="216"/>
      <c r="H31" s="120"/>
      <c r="J31" s="216"/>
      <c r="L31" s="120"/>
      <c r="N31" s="216"/>
      <c r="P31" s="120"/>
      <c r="R31" s="216"/>
      <c r="T31" s="120"/>
      <c r="V31" s="80"/>
      <c r="X31" s="120"/>
      <c r="AB31" s="120"/>
      <c r="AF31" s="120"/>
      <c r="AG31" s="120"/>
      <c r="AK31" s="403"/>
      <c r="AO31" s="131"/>
      <c r="AP31" s="211"/>
      <c r="AQ31" s="211"/>
      <c r="AR31" s="211"/>
      <c r="AS31" s="211"/>
      <c r="AT31" s="211"/>
      <c r="AU31" s="211"/>
      <c r="AV31" s="211"/>
      <c r="AW31" s="211"/>
      <c r="AX31" s="211"/>
      <c r="AY31" s="211"/>
      <c r="AZ31" s="211"/>
      <c r="BA31" s="211"/>
    </row>
    <row r="32" spans="3:53" x14ac:dyDescent="0.25">
      <c r="D32" s="120"/>
      <c r="F32" s="216"/>
      <c r="H32" s="120"/>
      <c r="J32" s="216"/>
      <c r="L32" s="120"/>
      <c r="N32" s="216"/>
      <c r="P32" s="120"/>
      <c r="R32" s="216"/>
      <c r="T32" s="120"/>
      <c r="V32" s="80"/>
      <c r="X32" s="120"/>
      <c r="AB32" s="120"/>
      <c r="AF32" s="120"/>
      <c r="AG32" s="120"/>
      <c r="AK32" s="403"/>
      <c r="AO32" s="131"/>
      <c r="AP32" s="211"/>
      <c r="AQ32" s="211"/>
      <c r="AR32" s="211"/>
      <c r="AS32" s="211"/>
      <c r="AT32" s="211"/>
      <c r="AU32" s="211"/>
      <c r="AV32" s="211"/>
      <c r="AW32" s="211"/>
      <c r="AX32" s="211"/>
      <c r="AY32" s="211"/>
      <c r="AZ32" s="211"/>
      <c r="BA32" s="211"/>
    </row>
    <row r="33" spans="4:53" x14ac:dyDescent="0.25">
      <c r="D33" s="120"/>
      <c r="F33" s="216"/>
      <c r="H33" s="120"/>
      <c r="J33" s="216"/>
      <c r="L33" s="120"/>
      <c r="N33" s="216"/>
      <c r="P33" s="120"/>
      <c r="R33" s="216"/>
      <c r="T33" s="120"/>
      <c r="V33" s="80"/>
      <c r="X33" s="120"/>
      <c r="AB33" s="120"/>
      <c r="AF33" s="120"/>
      <c r="AG33" s="120"/>
      <c r="AK33" s="403"/>
      <c r="AO33" s="212"/>
      <c r="AP33" s="212"/>
      <c r="AQ33" s="211"/>
      <c r="AR33" s="211"/>
      <c r="AS33" s="211"/>
      <c r="AT33" s="211"/>
      <c r="AU33" s="211"/>
      <c r="AV33" s="211"/>
      <c r="AW33" s="211"/>
      <c r="AX33" s="211"/>
      <c r="AY33" s="211"/>
      <c r="AZ33" s="211"/>
      <c r="BA33" s="211"/>
    </row>
    <row r="34" spans="4:53" x14ac:dyDescent="0.25">
      <c r="D34" s="120"/>
      <c r="F34" s="216"/>
      <c r="H34" s="120"/>
      <c r="J34" s="216"/>
      <c r="L34" s="120"/>
      <c r="N34" s="216"/>
      <c r="P34" s="120"/>
      <c r="R34" s="216"/>
      <c r="T34" s="120"/>
      <c r="V34" s="80"/>
      <c r="X34" s="120"/>
      <c r="AB34" s="120"/>
      <c r="AF34" s="120"/>
      <c r="AG34" s="120"/>
      <c r="AK34" s="403"/>
      <c r="AO34" s="212"/>
      <c r="AP34" s="212"/>
      <c r="AQ34" s="211"/>
      <c r="AR34" s="211"/>
      <c r="AS34" s="211"/>
      <c r="AT34" s="211"/>
      <c r="AU34" s="211"/>
      <c r="AV34" s="211"/>
      <c r="AW34" s="211"/>
      <c r="AX34" s="211"/>
      <c r="AY34" s="211"/>
      <c r="AZ34" s="211"/>
      <c r="BA34" s="211"/>
    </row>
    <row r="35" spans="4:53" x14ac:dyDescent="0.25">
      <c r="D35" s="120"/>
      <c r="F35" s="216"/>
      <c r="H35" s="120"/>
      <c r="J35" s="216"/>
      <c r="L35" s="120"/>
      <c r="N35" s="216"/>
      <c r="P35" s="120"/>
      <c r="R35" s="216"/>
      <c r="T35" s="120"/>
      <c r="V35" s="80"/>
      <c r="X35" s="120"/>
      <c r="AB35" s="120"/>
      <c r="AF35" s="120"/>
      <c r="AG35" s="120"/>
      <c r="AK35" s="403"/>
      <c r="AO35" s="212"/>
      <c r="AP35" s="212"/>
      <c r="AQ35" s="211"/>
      <c r="AR35" s="211"/>
      <c r="AS35" s="211"/>
      <c r="AT35" s="211"/>
      <c r="AU35" s="211"/>
      <c r="AV35" s="211"/>
      <c r="AW35" s="211"/>
      <c r="AX35" s="211"/>
      <c r="AY35" s="211"/>
      <c r="AZ35" s="211"/>
      <c r="BA35" s="211"/>
    </row>
    <row r="36" spans="4:53" x14ac:dyDescent="0.25">
      <c r="D36" s="120"/>
      <c r="F36" s="216"/>
      <c r="H36" s="120"/>
      <c r="J36" s="216"/>
      <c r="L36" s="120"/>
      <c r="N36" s="216"/>
      <c r="P36" s="120"/>
      <c r="R36" s="216"/>
      <c r="T36" s="120"/>
      <c r="V36" s="80"/>
      <c r="X36" s="120"/>
      <c r="AB36" s="120"/>
      <c r="AF36" s="120"/>
      <c r="AG36" s="120"/>
      <c r="AK36" s="403"/>
      <c r="AO36" s="212"/>
      <c r="AP36" s="212"/>
      <c r="AQ36" s="211"/>
      <c r="AR36" s="211"/>
      <c r="AS36" s="211"/>
      <c r="AT36" s="211"/>
      <c r="AU36" s="211"/>
      <c r="AV36" s="211"/>
      <c r="AW36" s="211"/>
      <c r="AX36" s="211"/>
      <c r="AY36" s="211"/>
      <c r="AZ36" s="211"/>
      <c r="BA36" s="211"/>
    </row>
    <row r="37" spans="4:53" x14ac:dyDescent="0.25">
      <c r="D37" s="120"/>
      <c r="F37" s="216"/>
      <c r="H37" s="120"/>
      <c r="J37" s="216"/>
      <c r="L37" s="120"/>
      <c r="N37" s="216"/>
      <c r="P37" s="120"/>
      <c r="R37" s="216"/>
      <c r="T37" s="120"/>
      <c r="V37" s="80"/>
      <c r="X37" s="120"/>
      <c r="AB37" s="120"/>
      <c r="AF37" s="120"/>
      <c r="AG37" s="120"/>
      <c r="AK37" s="403"/>
      <c r="AO37" s="212"/>
      <c r="AP37" s="212"/>
      <c r="AQ37" s="211"/>
      <c r="AR37" s="211"/>
      <c r="AS37" s="211"/>
      <c r="AT37" s="211"/>
      <c r="AU37" s="211"/>
      <c r="AV37" s="211"/>
      <c r="AW37" s="211"/>
      <c r="AX37" s="211"/>
      <c r="AY37" s="211"/>
      <c r="AZ37" s="211"/>
      <c r="BA37" s="211"/>
    </row>
    <row r="38" spans="4:53" x14ac:dyDescent="0.25">
      <c r="D38" s="120"/>
      <c r="F38" s="216"/>
      <c r="H38" s="120"/>
      <c r="J38" s="216"/>
      <c r="L38" s="120"/>
      <c r="N38" s="216"/>
      <c r="P38" s="120"/>
      <c r="R38" s="216"/>
      <c r="T38" s="120"/>
      <c r="V38" s="80"/>
      <c r="X38" s="120"/>
      <c r="AB38" s="120"/>
      <c r="AF38" s="120"/>
      <c r="AG38" s="120"/>
      <c r="AK38" s="403"/>
      <c r="AO38" s="212"/>
      <c r="AP38" s="212"/>
      <c r="AQ38" s="211"/>
      <c r="AR38" s="211"/>
      <c r="AS38" s="211"/>
      <c r="AT38" s="211"/>
      <c r="AU38" s="211"/>
      <c r="AV38" s="211"/>
      <c r="AW38" s="211"/>
      <c r="AX38" s="211"/>
      <c r="AY38" s="211"/>
      <c r="AZ38" s="211"/>
      <c r="BA38" s="211"/>
    </row>
    <row r="39" spans="4:53" x14ac:dyDescent="0.25">
      <c r="D39" s="120"/>
      <c r="F39" s="216"/>
      <c r="H39" s="120"/>
      <c r="J39" s="216"/>
      <c r="L39" s="120"/>
      <c r="N39" s="216"/>
      <c r="P39" s="120"/>
      <c r="R39" s="216"/>
      <c r="T39" s="120"/>
      <c r="V39" s="80"/>
      <c r="X39" s="120"/>
      <c r="AB39" s="120"/>
      <c r="AF39" s="120"/>
      <c r="AG39" s="120"/>
      <c r="AK39" s="403"/>
      <c r="AO39" s="212"/>
      <c r="AP39" s="212"/>
      <c r="AQ39" s="211"/>
      <c r="AR39" s="211"/>
      <c r="AS39" s="211"/>
      <c r="AT39" s="211"/>
      <c r="AU39" s="211"/>
      <c r="AV39" s="211"/>
      <c r="AW39" s="211"/>
      <c r="AX39" s="211"/>
      <c r="AY39" s="211"/>
      <c r="AZ39" s="211"/>
      <c r="BA39" s="211"/>
    </row>
    <row r="40" spans="4:53" x14ac:dyDescent="0.25">
      <c r="D40" s="120"/>
      <c r="H40" s="120"/>
      <c r="L40" s="120"/>
      <c r="P40" s="120"/>
      <c r="T40" s="120"/>
      <c r="X40" s="120"/>
      <c r="AB40" s="120"/>
      <c r="AF40" s="120"/>
      <c r="AG40" s="120"/>
      <c r="AK40" s="403"/>
      <c r="AO40" s="212"/>
      <c r="AP40" s="212"/>
      <c r="AQ40" s="211"/>
      <c r="AR40" s="211"/>
      <c r="AS40" s="211"/>
      <c r="AT40" s="211"/>
      <c r="AU40" s="211"/>
      <c r="AV40" s="211"/>
      <c r="AW40" s="211"/>
      <c r="AX40" s="211"/>
      <c r="AY40" s="211"/>
      <c r="AZ40" s="211"/>
      <c r="BA40" s="211"/>
    </row>
    <row r="41" spans="4:53" x14ac:dyDescent="0.25">
      <c r="D41" s="120"/>
      <c r="H41" s="120"/>
      <c r="L41" s="120"/>
      <c r="P41" s="120"/>
      <c r="T41" s="120"/>
      <c r="X41" s="120"/>
      <c r="AB41" s="120"/>
      <c r="AF41" s="120"/>
      <c r="AG41" s="120"/>
      <c r="AK41" s="403"/>
    </row>
    <row r="42" spans="4:53" x14ac:dyDescent="0.25">
      <c r="D42" s="120"/>
      <c r="H42" s="120"/>
      <c r="L42" s="120"/>
      <c r="P42" s="120"/>
      <c r="T42" s="120"/>
      <c r="X42" s="120"/>
      <c r="AB42" s="120"/>
      <c r="AF42" s="120"/>
      <c r="AG42" s="120"/>
      <c r="AK42" s="403"/>
    </row>
    <row r="43" spans="4:53" x14ac:dyDescent="0.25">
      <c r="D43" s="120"/>
      <c r="H43" s="120"/>
      <c r="L43" s="120"/>
      <c r="P43" s="120"/>
      <c r="T43" s="120"/>
      <c r="X43" s="120"/>
      <c r="AB43" s="120"/>
      <c r="AF43" s="120"/>
      <c r="AG43" s="120"/>
      <c r="AK43" s="403"/>
    </row>
    <row r="44" spans="4:53" x14ac:dyDescent="0.25">
      <c r="D44" s="120"/>
      <c r="H44" s="120"/>
      <c r="L44" s="120"/>
      <c r="P44" s="120"/>
      <c r="T44" s="120"/>
      <c r="X44" s="120"/>
      <c r="AB44" s="120"/>
      <c r="AF44" s="120"/>
      <c r="AG44" s="120"/>
      <c r="AK44" s="403"/>
    </row>
    <row r="45" spans="4:53" x14ac:dyDescent="0.25">
      <c r="D45" s="120"/>
      <c r="H45" s="120"/>
      <c r="L45" s="120"/>
      <c r="P45" s="120"/>
      <c r="T45" s="120"/>
      <c r="X45" s="120"/>
      <c r="AB45" s="120"/>
      <c r="AF45" s="120"/>
      <c r="AG45" s="120"/>
      <c r="AK45" s="403"/>
    </row>
    <row r="46" spans="4:53" x14ac:dyDescent="0.25">
      <c r="D46" s="120"/>
      <c r="H46" s="120"/>
      <c r="L46" s="120"/>
      <c r="P46" s="120"/>
      <c r="T46" s="120"/>
      <c r="X46" s="120"/>
      <c r="AB46" s="120"/>
      <c r="AF46" s="120"/>
      <c r="AG46" s="120"/>
      <c r="AK46" s="403"/>
    </row>
    <row r="47" spans="4:53" x14ac:dyDescent="0.25">
      <c r="D47" s="120"/>
      <c r="H47" s="120"/>
      <c r="L47" s="120"/>
      <c r="P47" s="120"/>
      <c r="T47" s="120"/>
      <c r="X47" s="120"/>
      <c r="AB47" s="120"/>
      <c r="AF47" s="120"/>
      <c r="AG47" s="120"/>
      <c r="AK47" s="403"/>
    </row>
    <row r="48" spans="4:53"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403" t="s">
        <v>1511</v>
      </c>
      <c r="E124" s="211">
        <v>30.35</v>
      </c>
      <c r="F124" s="211">
        <v>25</v>
      </c>
      <c r="G124" s="394"/>
      <c r="H124" s="403"/>
      <c r="I124" s="394"/>
      <c r="J124" s="394"/>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8" orientation="landscape" copies="15" r:id="rId1"/>
  <headerFooter alignWithMargins="0">
    <oddHeader>&amp;C&amp;"-,Bold"Proposed Budget &amp; Analysis Report for FY20</oddHeader>
    <oddFooter>&amp;C&amp;D&amp;T&amp;R&amp;A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3:AR362"/>
  <sheetViews>
    <sheetView zoomScaleNormal="100" zoomScaleSheetLayoutView="100" workbookViewId="0">
      <selection activeCell="C15" sqref="C15"/>
    </sheetView>
  </sheetViews>
  <sheetFormatPr defaultRowHeight="13.5" x14ac:dyDescent="0.25"/>
  <cols>
    <col min="1" max="1" width="19" style="161" customWidth="1"/>
    <col min="2" max="2" width="5" style="161" customWidth="1"/>
    <col min="3" max="3" width="34.5703125" style="161" customWidth="1"/>
    <col min="4" max="4" width="13.28515625" style="211" hidden="1" customWidth="1"/>
    <col min="5" max="5" width="11.42578125" style="211" hidden="1" customWidth="1"/>
    <col min="6" max="6" width="7.7109375" style="211" hidden="1" customWidth="1"/>
    <col min="7" max="7" width="2.28515625" style="213" hidden="1" customWidth="1"/>
    <col min="8" max="8" width="13.28515625" style="211" hidden="1" customWidth="1"/>
    <col min="9" max="9" width="11.42578125" style="211" hidden="1" customWidth="1"/>
    <col min="10" max="10" width="7.7109375" style="211" hidden="1" customWidth="1"/>
    <col min="11" max="11" width="2.28515625" style="213" hidden="1" customWidth="1"/>
    <col min="12" max="12" width="13.28515625" style="211" hidden="1" customWidth="1"/>
    <col min="13" max="13" width="11.42578125" style="211" hidden="1" customWidth="1"/>
    <col min="14" max="14" width="7.7109375" style="211" hidden="1" customWidth="1"/>
    <col min="15" max="15" width="2.28515625" style="213" hidden="1" customWidth="1"/>
    <col min="16" max="16" width="13.28515625" style="211" hidden="1" customWidth="1"/>
    <col min="17" max="17" width="11.42578125" style="211" hidden="1" customWidth="1"/>
    <col min="18" max="18" width="7.7109375" style="211" hidden="1" customWidth="1"/>
    <col min="19" max="19" width="2.28515625" style="213" hidden="1" customWidth="1"/>
    <col min="20" max="20" width="13.28515625" style="161" hidden="1" customWidth="1"/>
    <col min="21" max="21" width="11.42578125" style="161" hidden="1" customWidth="1"/>
    <col min="22" max="22" width="7.7109375" style="161" hidden="1" customWidth="1"/>
    <col min="23" max="23" width="2.28515625" style="103" hidden="1" customWidth="1"/>
    <col min="24" max="25" width="11.5703125" style="161" hidden="1" customWidth="1"/>
    <col min="26" max="26" width="7" style="161" hidden="1" customWidth="1"/>
    <col min="27" max="27" width="2.28515625" style="103" hidden="1" customWidth="1"/>
    <col min="28" max="29" width="11.5703125" style="161" customWidth="1"/>
    <col min="30" max="30" width="7" style="161" bestFit="1" customWidth="1"/>
    <col min="31" max="31" width="2.28515625" style="213" customWidth="1"/>
    <col min="32" max="32" width="11.5703125" style="211" hidden="1" customWidth="1"/>
    <col min="33" max="34" width="11.5703125" style="211" customWidth="1"/>
    <col min="35" max="35" width="7" style="211" bestFit="1" customWidth="1"/>
    <col min="36" max="36" width="1.85546875" style="161" customWidth="1"/>
    <col min="37" max="38" width="11.5703125" style="394" customWidth="1"/>
    <col min="39" max="39" width="7" style="394" bestFit="1" customWidth="1"/>
    <col min="40" max="40" width="2.28515625" style="397" customWidth="1"/>
    <col min="41" max="41" width="13.5703125" style="104" customWidth="1"/>
    <col min="42" max="42" width="11.7109375" style="104" customWidth="1"/>
    <col min="43" max="43" width="9.28515625" style="161" bestFit="1" customWidth="1"/>
    <col min="44" max="44" width="15.5703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x14ac:dyDescent="0.25">
      <c r="A4" s="271"/>
      <c r="B4" s="271"/>
      <c r="C4" s="308" t="s">
        <v>1992</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O5" s="103"/>
      <c r="AP5" s="103"/>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2">
        <v>0</v>
      </c>
      <c r="AG6" s="212">
        <v>0</v>
      </c>
      <c r="AH6" s="112">
        <v>0</v>
      </c>
      <c r="AI6" s="216"/>
      <c r="AJ6" s="80"/>
      <c r="AK6" s="112"/>
      <c r="AL6" s="112"/>
      <c r="AM6" s="396"/>
      <c r="AO6" s="104">
        <v>0</v>
      </c>
      <c r="AP6" s="104">
        <v>0</v>
      </c>
      <c r="AQ6" s="80"/>
      <c r="AR6" s="2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f>SUM(AF6)</f>
        <v>0</v>
      </c>
      <c r="AG7" s="227">
        <f>SUM(AG6)</f>
        <v>0</v>
      </c>
      <c r="AH7" s="225">
        <f>SUM(AH6:AH6)</f>
        <v>0</v>
      </c>
      <c r="AI7" s="226"/>
      <c r="AJ7" s="226"/>
      <c r="AK7" s="225">
        <f>SUM(AK6:AK6)</f>
        <v>0</v>
      </c>
      <c r="AL7" s="225">
        <f>SUM(AL6:AL6)</f>
        <v>0</v>
      </c>
      <c r="AM7" s="226"/>
      <c r="AN7" s="224"/>
      <c r="AO7" s="227">
        <f>SUM(AO6)</f>
        <v>0</v>
      </c>
      <c r="AP7" s="225">
        <f>SUM(AP6)</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80"/>
      <c r="AR9" s="111"/>
    </row>
    <row r="10" spans="1:44" s="211" customFormat="1" x14ac:dyDescent="0.25">
      <c r="A10" s="211" t="s">
        <v>900</v>
      </c>
      <c r="B10" s="395">
        <v>5686</v>
      </c>
      <c r="C10" s="213" t="s">
        <v>1863</v>
      </c>
      <c r="D10" s="112">
        <v>0</v>
      </c>
      <c r="E10" s="112">
        <v>0</v>
      </c>
      <c r="F10" s="216"/>
      <c r="G10" s="213"/>
      <c r="H10" s="112">
        <v>0</v>
      </c>
      <c r="I10" s="112">
        <v>0</v>
      </c>
      <c r="J10" s="216"/>
      <c r="K10" s="213"/>
      <c r="L10" s="112">
        <v>1500</v>
      </c>
      <c r="M10" s="112">
        <v>1500</v>
      </c>
      <c r="N10" s="216"/>
      <c r="O10" s="213"/>
      <c r="P10" s="112">
        <v>1500</v>
      </c>
      <c r="Q10" s="112">
        <v>1500</v>
      </c>
      <c r="R10" s="216"/>
      <c r="S10" s="213"/>
      <c r="T10" s="112">
        <v>2500</v>
      </c>
      <c r="U10" s="112">
        <v>2500</v>
      </c>
      <c r="V10" s="216"/>
      <c r="W10" s="213"/>
      <c r="X10" s="112">
        <v>2500</v>
      </c>
      <c r="Y10" s="112">
        <v>2500</v>
      </c>
      <c r="Z10" s="216"/>
      <c r="AA10" s="213"/>
      <c r="AB10" s="112">
        <v>2500</v>
      </c>
      <c r="AC10" s="112">
        <v>2500</v>
      </c>
      <c r="AD10" s="216"/>
      <c r="AE10" s="213"/>
      <c r="AF10" s="212">
        <v>3000</v>
      </c>
      <c r="AG10" s="212">
        <v>3000</v>
      </c>
      <c r="AH10" s="245">
        <v>3000</v>
      </c>
      <c r="AI10" s="216"/>
      <c r="AJ10" s="216"/>
      <c r="AK10" s="112">
        <v>3000</v>
      </c>
      <c r="AL10" s="112">
        <v>0</v>
      </c>
      <c r="AM10" s="396"/>
      <c r="AN10" s="397"/>
      <c r="AO10" s="399">
        <v>3500</v>
      </c>
      <c r="AP10" s="212">
        <f>AO10-AG10</f>
        <v>500</v>
      </c>
      <c r="AQ10" s="216"/>
      <c r="AR10" s="288"/>
    </row>
    <row r="11" spans="1:44" s="114" customFormat="1" x14ac:dyDescent="0.25">
      <c r="A11" s="219"/>
      <c r="B11" s="219"/>
      <c r="C11" s="219" t="s">
        <v>279</v>
      </c>
      <c r="D11" s="220">
        <f>SUM(D10:D10)</f>
        <v>0</v>
      </c>
      <c r="E11" s="220">
        <f>SUM(E10:E10)</f>
        <v>0</v>
      </c>
      <c r="F11" s="221"/>
      <c r="G11" s="219"/>
      <c r="H11" s="220">
        <f>SUM(H10:H10)</f>
        <v>0</v>
      </c>
      <c r="I11" s="220">
        <f>SUM(I10:I10)</f>
        <v>0</v>
      </c>
      <c r="J11" s="221"/>
      <c r="K11" s="219"/>
      <c r="L11" s="220">
        <f>SUM(L10:L10)</f>
        <v>1500</v>
      </c>
      <c r="M11" s="220">
        <f>SUM(M10:M10)</f>
        <v>1500</v>
      </c>
      <c r="N11" s="221"/>
      <c r="O11" s="219"/>
      <c r="P11" s="220">
        <f>SUM(P10:P10)</f>
        <v>1500</v>
      </c>
      <c r="Q11" s="220">
        <f>SUM(Q10:Q10)</f>
        <v>1500</v>
      </c>
      <c r="R11" s="221"/>
      <c r="S11" s="219"/>
      <c r="T11" s="220">
        <f>SUM(T10:T10)</f>
        <v>2500</v>
      </c>
      <c r="U11" s="220">
        <f>SUM(U10:U10)</f>
        <v>2500</v>
      </c>
      <c r="V11" s="221"/>
      <c r="W11" s="219"/>
      <c r="X11" s="220">
        <f>SUM(X10:X10)</f>
        <v>2500</v>
      </c>
      <c r="Y11" s="220">
        <f>SUM(Y10:Y10)</f>
        <v>2500</v>
      </c>
      <c r="Z11" s="222">
        <f>(X11-T11)/T11</f>
        <v>0</v>
      </c>
      <c r="AA11" s="219"/>
      <c r="AB11" s="220">
        <f>SUM(AB10:AB10)</f>
        <v>2500</v>
      </c>
      <c r="AC11" s="220">
        <f>SUM(AC10:AC10)</f>
        <v>2500</v>
      </c>
      <c r="AD11" s="222">
        <f>(AB11-X11)/X11</f>
        <v>0</v>
      </c>
      <c r="AE11" s="219"/>
      <c r="AF11" s="220">
        <f>SUM(AF10:AF10)</f>
        <v>3000</v>
      </c>
      <c r="AG11" s="220">
        <f>SUM(AG10:AG10)</f>
        <v>3000</v>
      </c>
      <c r="AH11" s="220">
        <f>SUM(AH10:AH10)</f>
        <v>3000</v>
      </c>
      <c r="AI11" s="222">
        <f>(AG11-AB11)/AB11</f>
        <v>0.2</v>
      </c>
      <c r="AJ11" s="221"/>
      <c r="AK11" s="401">
        <f>SUM(AK10:AK10)</f>
        <v>3000</v>
      </c>
      <c r="AL11" s="401">
        <f>SUM(AL10:AL10)</f>
        <v>0</v>
      </c>
      <c r="AM11" s="222">
        <f>(AK11-AG11)/AG11</f>
        <v>0</v>
      </c>
      <c r="AN11" s="219"/>
      <c r="AO11" s="223">
        <f>SUM(AO10)</f>
        <v>3500</v>
      </c>
      <c r="AP11" s="223">
        <f>SUM(AP10)</f>
        <v>500</v>
      </c>
      <c r="AQ11" s="222">
        <f>(AO11-AK11)/AK11</f>
        <v>0.16666666666666666</v>
      </c>
      <c r="AR11" s="219"/>
    </row>
    <row r="12" spans="1:44" s="211" customFormat="1" x14ac:dyDescent="0.25">
      <c r="D12" s="112"/>
      <c r="E12" s="112"/>
      <c r="F12" s="216"/>
      <c r="G12" s="213"/>
      <c r="H12" s="112"/>
      <c r="I12" s="112"/>
      <c r="J12" s="216"/>
      <c r="K12" s="213"/>
      <c r="L12" s="112"/>
      <c r="M12" s="112"/>
      <c r="N12" s="216"/>
      <c r="O12" s="213"/>
      <c r="P12" s="112"/>
      <c r="Q12" s="112"/>
      <c r="R12" s="216"/>
      <c r="S12" s="213"/>
      <c r="T12" s="112"/>
      <c r="U12" s="112"/>
      <c r="V12" s="216"/>
      <c r="W12" s="213"/>
      <c r="X12" s="112"/>
      <c r="Y12" s="112"/>
      <c r="Z12" s="216"/>
      <c r="AA12" s="213"/>
      <c r="AB12" s="112"/>
      <c r="AC12" s="112"/>
      <c r="AD12" s="216"/>
      <c r="AE12" s="213"/>
      <c r="AF12" s="112"/>
      <c r="AG12" s="112"/>
      <c r="AH12" s="112"/>
      <c r="AI12" s="216"/>
      <c r="AJ12" s="216"/>
      <c r="AK12" s="112"/>
      <c r="AL12" s="112"/>
      <c r="AM12" s="396"/>
      <c r="AN12" s="397"/>
      <c r="AO12" s="212"/>
      <c r="AP12" s="212"/>
      <c r="AQ12" s="396"/>
    </row>
    <row r="13" spans="1:44" s="114" customFormat="1" ht="12.75" x14ac:dyDescent="0.2">
      <c r="A13" s="228"/>
      <c r="B13" s="228"/>
      <c r="C13" s="233" t="s">
        <v>280</v>
      </c>
      <c r="D13" s="230">
        <f>D7+D11</f>
        <v>0</v>
      </c>
      <c r="E13" s="230">
        <f>E7+E11</f>
        <v>0</v>
      </c>
      <c r="F13" s="231"/>
      <c r="G13" s="228"/>
      <c r="H13" s="230">
        <f>H7+H11</f>
        <v>0</v>
      </c>
      <c r="I13" s="230">
        <f>I7+I11</f>
        <v>0</v>
      </c>
      <c r="J13" s="231"/>
      <c r="K13" s="228"/>
      <c r="L13" s="230">
        <f>L7+L11</f>
        <v>1500</v>
      </c>
      <c r="M13" s="230">
        <f>M7+M11</f>
        <v>1500</v>
      </c>
      <c r="N13" s="231"/>
      <c r="O13" s="228"/>
      <c r="P13" s="230">
        <f>P7+P11</f>
        <v>1500</v>
      </c>
      <c r="Q13" s="230">
        <f>Q7+Q11</f>
        <v>1500</v>
      </c>
      <c r="R13" s="231"/>
      <c r="S13" s="228"/>
      <c r="T13" s="230">
        <f>T7+T11</f>
        <v>2500</v>
      </c>
      <c r="U13" s="230">
        <f>U7+U11</f>
        <v>2500</v>
      </c>
      <c r="V13" s="231"/>
      <c r="W13" s="228"/>
      <c r="X13" s="230">
        <f>X7+X11</f>
        <v>2500</v>
      </c>
      <c r="Y13" s="230">
        <f>Y7+Y11</f>
        <v>2500</v>
      </c>
      <c r="Z13" s="231">
        <f>(X13-T13)/T13</f>
        <v>0</v>
      </c>
      <c r="AA13" s="228"/>
      <c r="AB13" s="230">
        <f>AB7+AB11</f>
        <v>2500</v>
      </c>
      <c r="AC13" s="230">
        <f>AC7+AC11</f>
        <v>2500</v>
      </c>
      <c r="AD13" s="231">
        <f>(AB13-X13)/X13</f>
        <v>0</v>
      </c>
      <c r="AE13" s="228"/>
      <c r="AF13" s="230">
        <f>AF7+AF11</f>
        <v>3000</v>
      </c>
      <c r="AG13" s="230">
        <f>AG7+AG11</f>
        <v>3000</v>
      </c>
      <c r="AH13" s="230">
        <f>AH7+AH11</f>
        <v>3000</v>
      </c>
      <c r="AI13" s="231">
        <f>(AG13-AB13)/AB13</f>
        <v>0.2</v>
      </c>
      <c r="AJ13" s="231"/>
      <c r="AK13" s="402">
        <f>AK7+AK11</f>
        <v>3000</v>
      </c>
      <c r="AL13" s="402">
        <f>AL7+AL11</f>
        <v>0</v>
      </c>
      <c r="AM13" s="231">
        <f>(AK13-AG13)/AG13</f>
        <v>0</v>
      </c>
      <c r="AN13" s="228"/>
      <c r="AO13" s="232">
        <f>AO7+AO11</f>
        <v>3500</v>
      </c>
      <c r="AP13" s="232">
        <f>AP7+AP11</f>
        <v>500</v>
      </c>
      <c r="AQ13" s="231">
        <f>(AO13-AK13)/AK13</f>
        <v>0.16666666666666666</v>
      </c>
      <c r="AR13" s="233"/>
    </row>
    <row r="14" spans="1:44" x14ac:dyDescent="0.25">
      <c r="D14" s="120"/>
      <c r="F14" s="213"/>
      <c r="H14" s="120"/>
      <c r="J14" s="213"/>
      <c r="L14" s="120"/>
      <c r="N14" s="213"/>
      <c r="P14" s="120"/>
      <c r="R14" s="213"/>
      <c r="T14" s="120"/>
      <c r="V14" s="103"/>
      <c r="X14" s="120"/>
      <c r="Z14" s="103"/>
      <c r="AB14" s="120"/>
      <c r="AD14" s="103"/>
      <c r="AF14" s="120"/>
      <c r="AG14" s="120"/>
      <c r="AI14" s="213"/>
      <c r="AJ14" s="103"/>
      <c r="AK14" s="403"/>
      <c r="AM14" s="397"/>
      <c r="AP14" s="161"/>
      <c r="AQ14" s="103"/>
    </row>
    <row r="15" spans="1:44" s="111" customFormat="1" thickBot="1" x14ac:dyDescent="0.25">
      <c r="C15" s="111" t="s">
        <v>281</v>
      </c>
      <c r="D15" s="122"/>
      <c r="E15" s="121">
        <f>D13-E13</f>
        <v>0</v>
      </c>
      <c r="F15" s="118"/>
      <c r="G15" s="118"/>
      <c r="H15" s="122"/>
      <c r="I15" s="121">
        <f>H13-I13</f>
        <v>0</v>
      </c>
      <c r="J15" s="118"/>
      <c r="K15" s="118"/>
      <c r="L15" s="122"/>
      <c r="M15" s="121">
        <f>L13-M13</f>
        <v>0</v>
      </c>
      <c r="N15" s="118"/>
      <c r="O15" s="118"/>
      <c r="P15" s="122"/>
      <c r="Q15" s="121">
        <f>P13-Q13</f>
        <v>0</v>
      </c>
      <c r="R15" s="118"/>
      <c r="S15" s="118"/>
      <c r="T15" s="122"/>
      <c r="U15" s="121">
        <f>T13-U13</f>
        <v>0</v>
      </c>
      <c r="V15" s="118"/>
      <c r="W15" s="118"/>
      <c r="X15" s="122"/>
      <c r="Y15" s="121">
        <f>X13-Y13</f>
        <v>0</v>
      </c>
      <c r="Z15" s="118"/>
      <c r="AA15" s="118"/>
      <c r="AB15" s="122"/>
      <c r="AC15" s="121">
        <f>AB13-AC13</f>
        <v>0</v>
      </c>
      <c r="AD15" s="118"/>
      <c r="AE15" s="118"/>
      <c r="AF15" s="122"/>
      <c r="AG15" s="122"/>
      <c r="AH15" s="121">
        <f>AG13-AH13</f>
        <v>0</v>
      </c>
      <c r="AI15" s="118"/>
      <c r="AJ15" s="118"/>
      <c r="AK15" s="122"/>
      <c r="AL15" s="121">
        <f>AK13-AL13</f>
        <v>3000</v>
      </c>
      <c r="AM15" s="118"/>
      <c r="AN15" s="118"/>
      <c r="AO15" s="123"/>
      <c r="AP15" s="123"/>
    </row>
    <row r="16" spans="1:44" ht="14.25" thickTop="1" x14ac:dyDescent="0.25">
      <c r="D16" s="120"/>
      <c r="F16" s="213"/>
      <c r="H16" s="120"/>
      <c r="J16" s="213"/>
      <c r="L16" s="120"/>
      <c r="N16" s="213"/>
      <c r="P16" s="120"/>
      <c r="R16" s="213"/>
      <c r="T16" s="120"/>
      <c r="V16" s="103"/>
      <c r="X16" s="120"/>
      <c r="AB16" s="120"/>
      <c r="AF16" s="120"/>
      <c r="AG16" s="120"/>
      <c r="AK16" s="403"/>
    </row>
    <row r="17" spans="4:37" x14ac:dyDescent="0.25">
      <c r="D17" s="120"/>
      <c r="F17" s="213"/>
      <c r="H17" s="120"/>
      <c r="J17" s="213"/>
      <c r="L17" s="120"/>
      <c r="N17" s="213"/>
      <c r="P17" s="120"/>
      <c r="R17" s="213"/>
      <c r="T17" s="120"/>
      <c r="V17" s="103"/>
      <c r="X17" s="120"/>
      <c r="AB17" s="120"/>
      <c r="AF17" s="120"/>
      <c r="AG17" s="120"/>
      <c r="AK17" s="403"/>
    </row>
    <row r="18" spans="4:37" x14ac:dyDescent="0.25">
      <c r="D18" s="120"/>
      <c r="F18" s="4"/>
      <c r="H18" s="120"/>
      <c r="J18" s="4"/>
      <c r="L18" s="120"/>
      <c r="N18" s="4"/>
      <c r="P18" s="120"/>
      <c r="R18" s="4"/>
      <c r="T18" s="120"/>
      <c r="V18" s="4"/>
      <c r="X18" s="120"/>
      <c r="AB18" s="120"/>
      <c r="AF18" s="120"/>
      <c r="AG18" s="120"/>
      <c r="AK18" s="403"/>
    </row>
    <row r="19" spans="4:37" x14ac:dyDescent="0.25">
      <c r="D19" s="120"/>
      <c r="F19" s="4"/>
      <c r="H19" s="120"/>
      <c r="J19" s="4"/>
      <c r="L19" s="120"/>
      <c r="N19" s="4"/>
      <c r="P19" s="120"/>
      <c r="R19" s="4"/>
      <c r="T19" s="120"/>
      <c r="V19" s="4"/>
      <c r="X19" s="120"/>
      <c r="AB19" s="120"/>
      <c r="AF19" s="120"/>
      <c r="AG19" s="120"/>
      <c r="AK19" s="403"/>
    </row>
    <row r="20" spans="4:37" x14ac:dyDescent="0.25">
      <c r="D20" s="120"/>
      <c r="F20" s="4"/>
      <c r="H20" s="120"/>
      <c r="J20" s="4"/>
      <c r="L20" s="120"/>
      <c r="N20" s="4"/>
      <c r="P20" s="120"/>
      <c r="R20" s="4"/>
      <c r="T20" s="120"/>
      <c r="V20" s="4"/>
      <c r="X20" s="120"/>
      <c r="AB20" s="120"/>
      <c r="AF20" s="120"/>
      <c r="AG20" s="120"/>
      <c r="AK20" s="403"/>
    </row>
    <row r="21" spans="4:37" x14ac:dyDescent="0.25">
      <c r="D21" s="120"/>
      <c r="F21" s="4"/>
      <c r="H21" s="120"/>
      <c r="J21" s="4"/>
      <c r="L21" s="120"/>
      <c r="N21" s="4"/>
      <c r="P21" s="120"/>
      <c r="R21" s="4"/>
      <c r="T21" s="120"/>
      <c r="V21" s="4"/>
      <c r="X21" s="120"/>
      <c r="AB21" s="120"/>
      <c r="AF21" s="120"/>
      <c r="AG21" s="120"/>
      <c r="AK21" s="403"/>
    </row>
    <row r="22" spans="4:37" x14ac:dyDescent="0.25">
      <c r="D22" s="120"/>
      <c r="F22" s="4"/>
      <c r="H22" s="120"/>
      <c r="J22" s="4"/>
      <c r="L22" s="120"/>
      <c r="N22" s="4"/>
      <c r="P22" s="120"/>
      <c r="R22" s="4"/>
      <c r="T22" s="120"/>
      <c r="V22" s="4"/>
      <c r="X22" s="120"/>
      <c r="AB22" s="120"/>
      <c r="AF22" s="120"/>
      <c r="AG22" s="120"/>
      <c r="AK22" s="403"/>
    </row>
    <row r="23" spans="4:37" x14ac:dyDescent="0.25">
      <c r="D23" s="120"/>
      <c r="F23" s="4"/>
      <c r="H23" s="120"/>
      <c r="J23" s="4"/>
      <c r="L23" s="120"/>
      <c r="N23" s="4"/>
      <c r="P23" s="120"/>
      <c r="R23" s="4"/>
      <c r="T23" s="120"/>
      <c r="V23" s="4"/>
      <c r="X23" s="120"/>
      <c r="AB23" s="120"/>
      <c r="AF23" s="120"/>
      <c r="AG23" s="120"/>
      <c r="AK23" s="403"/>
    </row>
    <row r="24" spans="4:37" x14ac:dyDescent="0.25">
      <c r="D24" s="120"/>
      <c r="F24" s="4"/>
      <c r="H24" s="120"/>
      <c r="J24" s="4"/>
      <c r="L24" s="120"/>
      <c r="N24" s="4"/>
      <c r="P24" s="120"/>
      <c r="R24" s="4"/>
      <c r="T24" s="120"/>
      <c r="V24" s="4"/>
      <c r="X24" s="120"/>
      <c r="AB24" s="120"/>
      <c r="AF24" s="120"/>
      <c r="AG24" s="120"/>
      <c r="AK24" s="403"/>
    </row>
    <row r="25" spans="4:37" x14ac:dyDescent="0.25">
      <c r="D25" s="120"/>
      <c r="F25" s="4"/>
      <c r="H25" s="120"/>
      <c r="J25" s="4"/>
      <c r="L25" s="120"/>
      <c r="N25" s="4"/>
      <c r="P25" s="120"/>
      <c r="R25" s="4"/>
      <c r="T25" s="120"/>
      <c r="V25" s="4"/>
      <c r="X25" s="120"/>
      <c r="AB25" s="120"/>
      <c r="AF25" s="120"/>
      <c r="AG25" s="120"/>
      <c r="AK25" s="403"/>
    </row>
    <row r="26" spans="4:37" x14ac:dyDescent="0.25">
      <c r="D26" s="120"/>
      <c r="F26" s="4"/>
      <c r="H26" s="120"/>
      <c r="J26" s="4"/>
      <c r="L26" s="120"/>
      <c r="N26" s="4"/>
      <c r="P26" s="120"/>
      <c r="R26" s="4"/>
      <c r="T26" s="120"/>
      <c r="V26" s="4"/>
      <c r="X26" s="120"/>
      <c r="AB26" s="120"/>
      <c r="AF26" s="120"/>
      <c r="AG26" s="120"/>
      <c r="AK26" s="403"/>
    </row>
    <row r="27" spans="4:37" x14ac:dyDescent="0.25">
      <c r="D27" s="120"/>
      <c r="F27" s="4"/>
      <c r="H27" s="120"/>
      <c r="J27" s="4"/>
      <c r="L27" s="120"/>
      <c r="N27" s="4"/>
      <c r="P27" s="120"/>
      <c r="R27" s="4"/>
      <c r="T27" s="120"/>
      <c r="V27" s="4"/>
      <c r="X27" s="120"/>
      <c r="AB27" s="120"/>
      <c r="AF27" s="120"/>
      <c r="AG27" s="120"/>
      <c r="AK27" s="403"/>
    </row>
    <row r="28" spans="4:37" x14ac:dyDescent="0.25">
      <c r="D28" s="120"/>
      <c r="F28" s="4"/>
      <c r="H28" s="120"/>
      <c r="J28" s="4"/>
      <c r="L28" s="120"/>
      <c r="N28" s="4"/>
      <c r="P28" s="120"/>
      <c r="R28" s="4"/>
      <c r="T28" s="120"/>
      <c r="V28" s="4"/>
      <c r="X28" s="120"/>
      <c r="AB28" s="120"/>
      <c r="AF28" s="120"/>
      <c r="AG28" s="120"/>
      <c r="AK28" s="403"/>
    </row>
    <row r="29" spans="4:37" x14ac:dyDescent="0.25">
      <c r="D29" s="120"/>
      <c r="F29" s="4"/>
      <c r="H29" s="120"/>
      <c r="J29" s="4"/>
      <c r="L29" s="120"/>
      <c r="N29" s="4"/>
      <c r="P29" s="120"/>
      <c r="R29" s="4"/>
      <c r="T29" s="120"/>
      <c r="V29" s="4"/>
      <c r="X29" s="120"/>
      <c r="AB29" s="120"/>
      <c r="AF29" s="120"/>
      <c r="AG29" s="120"/>
      <c r="AK29" s="403"/>
    </row>
    <row r="30" spans="4:37" x14ac:dyDescent="0.25">
      <c r="D30" s="120"/>
      <c r="F30" s="4"/>
      <c r="H30" s="120"/>
      <c r="J30" s="4"/>
      <c r="L30" s="120"/>
      <c r="N30" s="4"/>
      <c r="P30" s="120"/>
      <c r="R30" s="4"/>
      <c r="T30" s="120"/>
      <c r="V30" s="4"/>
      <c r="X30" s="120"/>
      <c r="AB30" s="120"/>
      <c r="AF30" s="120"/>
      <c r="AG30" s="120"/>
      <c r="AK30" s="403"/>
    </row>
    <row r="31" spans="4:37" x14ac:dyDescent="0.25">
      <c r="D31" s="120"/>
      <c r="F31" s="4"/>
      <c r="H31" s="120"/>
      <c r="J31" s="4"/>
      <c r="L31" s="120"/>
      <c r="N31" s="4"/>
      <c r="P31" s="120"/>
      <c r="R31" s="4"/>
      <c r="T31" s="120"/>
      <c r="V31" s="4"/>
      <c r="X31" s="120"/>
      <c r="AB31" s="120"/>
      <c r="AF31" s="120"/>
      <c r="AG31" s="120"/>
      <c r="AK31" s="403"/>
    </row>
    <row r="32" spans="4:37" x14ac:dyDescent="0.25">
      <c r="D32" s="120"/>
      <c r="F32" s="4"/>
      <c r="H32" s="120"/>
      <c r="J32" s="4"/>
      <c r="L32" s="120"/>
      <c r="N32" s="4"/>
      <c r="P32" s="120"/>
      <c r="R32" s="4"/>
      <c r="T32" s="120"/>
      <c r="V32" s="4"/>
      <c r="X32" s="120"/>
      <c r="AB32" s="120"/>
      <c r="AF32" s="120"/>
      <c r="AG32" s="120"/>
      <c r="AK32" s="403"/>
    </row>
    <row r="33" spans="4:37" x14ac:dyDescent="0.25">
      <c r="D33" s="120"/>
      <c r="F33" s="4"/>
      <c r="H33" s="120"/>
      <c r="J33" s="4"/>
      <c r="L33" s="120"/>
      <c r="N33" s="4"/>
      <c r="P33" s="120"/>
      <c r="R33" s="4"/>
      <c r="T33" s="120"/>
      <c r="V33" s="4"/>
      <c r="X33" s="120"/>
      <c r="AB33" s="120"/>
      <c r="AF33" s="120"/>
      <c r="AG33" s="120"/>
      <c r="AK33" s="403"/>
    </row>
    <row r="34" spans="4:37" x14ac:dyDescent="0.25">
      <c r="D34" s="120"/>
      <c r="F34" s="4"/>
      <c r="H34" s="120"/>
      <c r="J34" s="4"/>
      <c r="L34" s="120"/>
      <c r="N34" s="4"/>
      <c r="P34" s="120"/>
      <c r="R34" s="4"/>
      <c r="T34" s="120"/>
      <c r="V34" s="4"/>
      <c r="X34" s="120"/>
      <c r="AB34" s="120"/>
      <c r="AF34" s="120"/>
      <c r="AG34" s="120"/>
      <c r="AK34" s="403"/>
    </row>
    <row r="35" spans="4:37" x14ac:dyDescent="0.25">
      <c r="D35" s="120"/>
      <c r="F35" s="4"/>
      <c r="H35" s="120"/>
      <c r="J35" s="4"/>
      <c r="L35" s="120"/>
      <c r="N35" s="4"/>
      <c r="P35" s="120"/>
      <c r="R35" s="4"/>
      <c r="T35" s="120"/>
      <c r="V35" s="4"/>
      <c r="X35" s="120"/>
      <c r="AB35" s="120"/>
      <c r="AF35" s="120"/>
      <c r="AG35" s="120"/>
      <c r="AK35" s="403"/>
    </row>
    <row r="36" spans="4:37" x14ac:dyDescent="0.25">
      <c r="D36" s="120"/>
      <c r="F36" s="4"/>
      <c r="H36" s="120"/>
      <c r="J36" s="4"/>
      <c r="L36" s="120"/>
      <c r="N36" s="4"/>
      <c r="P36" s="120"/>
      <c r="R36" s="4"/>
      <c r="T36" s="120"/>
      <c r="V36" s="4"/>
      <c r="X36" s="120"/>
      <c r="AB36" s="120"/>
      <c r="AF36" s="120"/>
      <c r="AG36" s="120"/>
      <c r="AK36" s="403"/>
    </row>
    <row r="37" spans="4:37" x14ac:dyDescent="0.25">
      <c r="D37" s="120"/>
      <c r="F37" s="4"/>
      <c r="H37" s="120"/>
      <c r="J37" s="4"/>
      <c r="L37" s="120"/>
      <c r="N37" s="4"/>
      <c r="P37" s="120"/>
      <c r="R37" s="4"/>
      <c r="T37" s="120"/>
      <c r="V37" s="4"/>
      <c r="X37" s="120"/>
      <c r="AB37" s="120"/>
      <c r="AF37" s="120"/>
      <c r="AG37" s="120"/>
      <c r="AK37" s="403"/>
    </row>
    <row r="38" spans="4:37" x14ac:dyDescent="0.25">
      <c r="D38" s="120"/>
      <c r="F38" s="4"/>
      <c r="H38" s="120"/>
      <c r="J38" s="4"/>
      <c r="L38" s="120"/>
      <c r="N38" s="4"/>
      <c r="P38" s="120"/>
      <c r="R38" s="4"/>
      <c r="T38" s="120"/>
      <c r="V38" s="4"/>
      <c r="X38" s="120"/>
      <c r="AB38" s="120"/>
      <c r="AF38" s="120"/>
      <c r="AG38" s="120"/>
      <c r="AK38" s="403"/>
    </row>
    <row r="39" spans="4:37" x14ac:dyDescent="0.25">
      <c r="D39" s="120"/>
      <c r="F39" s="213"/>
      <c r="H39" s="120"/>
      <c r="J39" s="213"/>
      <c r="L39" s="120"/>
      <c r="N39" s="213"/>
      <c r="P39" s="120"/>
      <c r="R39" s="213"/>
      <c r="T39" s="120"/>
      <c r="V39" s="103"/>
      <c r="X39" s="120"/>
      <c r="AB39" s="120"/>
      <c r="AF39" s="120"/>
      <c r="AG39" s="120"/>
      <c r="AK39" s="403"/>
    </row>
    <row r="40" spans="4:37" x14ac:dyDescent="0.25">
      <c r="D40" s="120"/>
      <c r="F40" s="213"/>
      <c r="H40" s="120"/>
      <c r="J40" s="213"/>
      <c r="L40" s="120"/>
      <c r="N40" s="213"/>
      <c r="P40" s="120"/>
      <c r="R40" s="213"/>
      <c r="T40" s="120"/>
      <c r="V40" s="103"/>
      <c r="X40" s="120"/>
      <c r="AB40" s="120"/>
      <c r="AF40" s="120"/>
      <c r="AG40" s="120"/>
      <c r="AK40" s="403"/>
    </row>
    <row r="41" spans="4:37" x14ac:dyDescent="0.25">
      <c r="D41" s="120"/>
      <c r="F41" s="213"/>
      <c r="H41" s="120"/>
      <c r="J41" s="213"/>
      <c r="L41" s="120"/>
      <c r="N41" s="213"/>
      <c r="P41" s="120"/>
      <c r="R41" s="213"/>
      <c r="T41" s="120"/>
      <c r="V41" s="103"/>
      <c r="X41" s="120"/>
      <c r="AB41" s="120"/>
      <c r="AF41" s="120"/>
      <c r="AG41" s="120"/>
      <c r="AK41" s="403"/>
    </row>
    <row r="42" spans="4:37" x14ac:dyDescent="0.25">
      <c r="D42" s="120"/>
      <c r="F42" s="213"/>
      <c r="H42" s="120"/>
      <c r="J42" s="213"/>
      <c r="L42" s="120"/>
      <c r="N42" s="213"/>
      <c r="P42" s="120"/>
      <c r="R42" s="213"/>
      <c r="T42" s="120"/>
      <c r="V42" s="103"/>
      <c r="X42" s="120"/>
      <c r="AB42" s="120"/>
      <c r="AF42" s="120"/>
      <c r="AG42" s="120"/>
      <c r="AK42" s="403"/>
    </row>
    <row r="43" spans="4:37" x14ac:dyDescent="0.25">
      <c r="D43" s="120"/>
      <c r="F43" s="213"/>
      <c r="H43" s="120"/>
      <c r="J43" s="213"/>
      <c r="L43" s="120"/>
      <c r="N43" s="213"/>
      <c r="P43" s="120"/>
      <c r="R43" s="213"/>
      <c r="T43" s="120"/>
      <c r="V43" s="103"/>
      <c r="X43" s="120"/>
      <c r="AB43" s="120"/>
      <c r="AF43" s="120"/>
      <c r="AG43" s="120"/>
      <c r="AK43" s="403"/>
    </row>
    <row r="44" spans="4:37" x14ac:dyDescent="0.25">
      <c r="D44" s="120"/>
      <c r="F44" s="213"/>
      <c r="H44" s="120"/>
      <c r="J44" s="213"/>
      <c r="L44" s="120"/>
      <c r="N44" s="213"/>
      <c r="P44" s="120"/>
      <c r="R44" s="213"/>
      <c r="T44" s="120"/>
      <c r="V44" s="103"/>
      <c r="X44" s="120"/>
      <c r="AB44" s="120"/>
      <c r="AF44" s="120"/>
      <c r="AG44" s="120"/>
      <c r="AK44" s="403"/>
    </row>
    <row r="45" spans="4:37" x14ac:dyDescent="0.25">
      <c r="D45" s="120"/>
      <c r="F45" s="213"/>
      <c r="H45" s="120"/>
      <c r="J45" s="213"/>
      <c r="L45" s="120"/>
      <c r="N45" s="213"/>
      <c r="P45" s="120"/>
      <c r="R45" s="213"/>
      <c r="T45" s="120"/>
      <c r="V45" s="103"/>
      <c r="X45" s="120"/>
      <c r="AB45" s="120"/>
      <c r="AF45" s="120"/>
      <c r="AG45" s="120"/>
      <c r="AK45" s="403"/>
    </row>
    <row r="46" spans="4:37" x14ac:dyDescent="0.25">
      <c r="D46" s="120"/>
      <c r="F46" s="213"/>
      <c r="H46" s="120"/>
      <c r="J46" s="213"/>
      <c r="L46" s="120"/>
      <c r="N46" s="213"/>
      <c r="P46" s="120"/>
      <c r="R46" s="213"/>
      <c r="T46" s="120"/>
      <c r="V46" s="103"/>
      <c r="X46" s="120"/>
      <c r="AB46" s="120"/>
      <c r="AF46" s="120"/>
      <c r="AG46" s="120"/>
      <c r="AK46" s="403"/>
    </row>
    <row r="47" spans="4:37" x14ac:dyDescent="0.25">
      <c r="D47" s="120"/>
      <c r="F47" s="213"/>
      <c r="H47" s="120"/>
      <c r="J47" s="213"/>
      <c r="L47" s="120"/>
      <c r="N47" s="213"/>
      <c r="P47" s="120"/>
      <c r="R47" s="213"/>
      <c r="T47" s="120"/>
      <c r="V47" s="103"/>
      <c r="X47" s="120"/>
      <c r="AB47" s="120"/>
      <c r="AF47" s="120"/>
      <c r="AG47" s="120"/>
      <c r="AK47" s="403"/>
    </row>
    <row r="48" spans="4:37" x14ac:dyDescent="0.25">
      <c r="D48" s="120"/>
      <c r="F48" s="213"/>
      <c r="H48" s="120"/>
      <c r="J48" s="213"/>
      <c r="L48" s="120"/>
      <c r="N48" s="213"/>
      <c r="P48" s="120"/>
      <c r="R48" s="213"/>
      <c r="T48" s="120"/>
      <c r="V48" s="103"/>
      <c r="X48" s="120"/>
      <c r="AB48" s="120"/>
      <c r="AF48" s="120"/>
      <c r="AG48" s="120"/>
      <c r="AK48" s="403"/>
    </row>
    <row r="49" spans="4:37" x14ac:dyDescent="0.25">
      <c r="D49" s="120"/>
      <c r="F49" s="213"/>
      <c r="H49" s="120"/>
      <c r="J49" s="213"/>
      <c r="L49" s="120"/>
      <c r="N49" s="213"/>
      <c r="P49" s="120"/>
      <c r="R49" s="213"/>
      <c r="T49" s="120"/>
      <c r="V49" s="103"/>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85" orientation="landscape" copies="15" r:id="rId1"/>
  <headerFooter alignWithMargins="0">
    <oddHeader>&amp;C&amp;"-,Bold"Proposed Budget &amp; Analysis Report for FY20</oddHeader>
    <oddFooter>&amp;C&amp;D&amp;T&amp;R&amp;A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3:AR380"/>
  <sheetViews>
    <sheetView zoomScaleNormal="100" zoomScaleSheetLayoutView="100" workbookViewId="0">
      <selection activeCell="C15" sqref="C15"/>
    </sheetView>
  </sheetViews>
  <sheetFormatPr defaultRowHeight="13.5" x14ac:dyDescent="0.25"/>
  <cols>
    <col min="1" max="1" width="19" style="161" bestFit="1" customWidth="1"/>
    <col min="2" max="2" width="5" style="161" customWidth="1"/>
    <col min="3" max="3" width="40.85546875" style="161" customWidth="1"/>
    <col min="4" max="4" width="13.28515625" style="211" hidden="1" customWidth="1"/>
    <col min="5" max="5" width="12.140625" style="211" hidden="1" customWidth="1"/>
    <col min="6" max="6" width="9.28515625" style="211" hidden="1" customWidth="1"/>
    <col min="7" max="7" width="2" style="213" hidden="1" customWidth="1"/>
    <col min="8" max="8" width="13.28515625" style="211" hidden="1" customWidth="1"/>
    <col min="9" max="9" width="12.140625" style="211" hidden="1" customWidth="1"/>
    <col min="10" max="10" width="9.28515625" style="211" hidden="1" customWidth="1"/>
    <col min="11" max="11" width="2" style="213" hidden="1" customWidth="1"/>
    <col min="12" max="12" width="13.28515625" style="211" hidden="1" customWidth="1"/>
    <col min="13" max="13" width="12.140625" style="211" hidden="1" customWidth="1"/>
    <col min="14" max="14" width="9.28515625" style="211" hidden="1" customWidth="1"/>
    <col min="15" max="15" width="2" style="213" hidden="1" customWidth="1"/>
    <col min="16" max="16" width="13.28515625" style="211" hidden="1" customWidth="1"/>
    <col min="17" max="17" width="12.140625" style="211" hidden="1" customWidth="1"/>
    <col min="18" max="18" width="9.28515625" style="211" hidden="1" customWidth="1"/>
    <col min="19" max="19" width="2" style="213" hidden="1" customWidth="1"/>
    <col min="20" max="20" width="13.28515625" style="161" hidden="1" customWidth="1"/>
    <col min="21" max="21" width="12.140625" style="161" hidden="1" customWidth="1"/>
    <col min="22" max="22" width="9.28515625" style="161" hidden="1" customWidth="1"/>
    <col min="23" max="23" width="2" style="103" hidden="1" customWidth="1"/>
    <col min="24" max="25" width="12.140625" style="161" hidden="1" customWidth="1"/>
    <col min="26" max="26" width="9.28515625" style="161" hidden="1" customWidth="1"/>
    <col min="27" max="27" width="2" style="103" hidden="1" customWidth="1"/>
    <col min="28" max="28" width="12.140625" style="161" customWidth="1"/>
    <col min="29" max="29" width="12.140625" style="161" bestFit="1" customWidth="1"/>
    <col min="30" max="30" width="9.28515625" style="161" bestFit="1" customWidth="1"/>
    <col min="31" max="31" width="2" style="213" customWidth="1"/>
    <col min="32" max="32" width="12.140625" style="211" hidden="1" customWidth="1"/>
    <col min="33" max="33" width="12.140625" style="211" customWidth="1"/>
    <col min="34" max="34" width="12.140625" style="211" bestFit="1" customWidth="1"/>
    <col min="35" max="35" width="9.28515625" style="211" bestFit="1" customWidth="1"/>
    <col min="36" max="36" width="1.85546875" style="161" customWidth="1"/>
    <col min="37" max="37" width="12.140625" style="394" customWidth="1"/>
    <col min="38" max="38" width="12.140625" style="394" bestFit="1" customWidth="1"/>
    <col min="39" max="39" width="9.28515625" style="394" bestFit="1" customWidth="1"/>
    <col min="40" max="40" width="1.85546875" style="394" customWidth="1"/>
    <col min="41" max="41" width="13.5703125" style="104" customWidth="1"/>
    <col min="42" max="42" width="12.28515625" style="104" bestFit="1" customWidth="1"/>
    <col min="43" max="43" width="9.5703125" style="161" bestFit="1" customWidth="1"/>
    <col min="44" max="44" width="21.5703125" style="161" customWidth="1"/>
    <col min="45" max="16384" width="9.140625" style="161"/>
  </cols>
  <sheetData>
    <row r="3" spans="1:44"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448"/>
      <c r="AO3" s="805" t="s">
        <v>1593</v>
      </c>
      <c r="AP3" s="805"/>
      <c r="AQ3" s="805"/>
      <c r="AR3" s="805"/>
    </row>
    <row r="4" spans="1:44" ht="27" x14ac:dyDescent="0.25">
      <c r="A4" s="812" t="s">
        <v>1994</v>
      </c>
      <c r="B4" s="812"/>
      <c r="C4" s="811"/>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N4" s="106"/>
      <c r="AO4" s="107" t="s">
        <v>274</v>
      </c>
      <c r="AP4" s="108" t="s">
        <v>107</v>
      </c>
      <c r="AQ4" s="109" t="s">
        <v>28</v>
      </c>
      <c r="AR4" s="110" t="s">
        <v>275</v>
      </c>
    </row>
    <row r="5" spans="1:44" s="211" customFormat="1" x14ac:dyDescent="0.25">
      <c r="A5" s="111" t="s">
        <v>272</v>
      </c>
      <c r="C5" s="111" t="s">
        <v>276</v>
      </c>
      <c r="G5" s="213"/>
      <c r="K5" s="213"/>
      <c r="O5" s="213"/>
      <c r="S5" s="213"/>
      <c r="W5" s="213"/>
      <c r="AA5" s="213"/>
      <c r="AE5" s="213"/>
      <c r="AK5" s="394"/>
      <c r="AL5" s="394"/>
      <c r="AM5" s="394"/>
      <c r="AN5" s="394"/>
      <c r="AO5" s="213"/>
      <c r="AP5" s="213"/>
      <c r="AR5" s="111"/>
    </row>
    <row r="6" spans="1:44" s="211" customFormat="1" x14ac:dyDescent="0.25">
      <c r="D6" s="112"/>
      <c r="E6" s="112"/>
      <c r="F6" s="216"/>
      <c r="G6" s="213"/>
      <c r="H6" s="112"/>
      <c r="I6" s="112"/>
      <c r="J6" s="216"/>
      <c r="K6" s="213"/>
      <c r="L6" s="112"/>
      <c r="M6" s="112"/>
      <c r="N6" s="216"/>
      <c r="O6" s="213"/>
      <c r="P6" s="112"/>
      <c r="Q6" s="112"/>
      <c r="R6" s="216"/>
      <c r="S6" s="213"/>
      <c r="T6" s="112"/>
      <c r="U6" s="112"/>
      <c r="V6" s="216"/>
      <c r="W6" s="213"/>
      <c r="X6" s="112"/>
      <c r="Y6" s="112"/>
      <c r="Z6" s="216"/>
      <c r="AA6" s="213"/>
      <c r="AB6" s="112"/>
      <c r="AC6" s="112"/>
      <c r="AD6" s="216"/>
      <c r="AE6" s="213"/>
      <c r="AF6" s="212">
        <v>0</v>
      </c>
      <c r="AG6" s="212">
        <v>0</v>
      </c>
      <c r="AH6" s="112">
        <v>0</v>
      </c>
      <c r="AI6" s="216"/>
      <c r="AJ6" s="216"/>
      <c r="AK6" s="399">
        <v>0</v>
      </c>
      <c r="AL6" s="112">
        <v>0</v>
      </c>
      <c r="AM6" s="396"/>
      <c r="AN6" s="396"/>
      <c r="AO6" s="212">
        <v>0</v>
      </c>
      <c r="AP6" s="212">
        <f>AO6-T6</f>
        <v>0</v>
      </c>
      <c r="AQ6" s="216"/>
    </row>
    <row r="7" spans="1:44" s="114" customFormat="1" x14ac:dyDescent="0.25">
      <c r="A7" s="224"/>
      <c r="B7" s="224"/>
      <c r="C7" s="224" t="s">
        <v>26</v>
      </c>
      <c r="D7" s="225">
        <v>0</v>
      </c>
      <c r="E7" s="225">
        <v>0</v>
      </c>
      <c r="F7" s="226"/>
      <c r="G7" s="224"/>
      <c r="H7" s="225">
        <v>0</v>
      </c>
      <c r="I7" s="225">
        <v>0</v>
      </c>
      <c r="J7" s="226"/>
      <c r="K7" s="224"/>
      <c r="L7" s="225">
        <v>0</v>
      </c>
      <c r="M7" s="225">
        <v>0</v>
      </c>
      <c r="N7" s="226"/>
      <c r="O7" s="224"/>
      <c r="P7" s="225">
        <v>0</v>
      </c>
      <c r="Q7" s="225">
        <v>0</v>
      </c>
      <c r="R7" s="226"/>
      <c r="S7" s="224"/>
      <c r="T7" s="225">
        <v>0</v>
      </c>
      <c r="U7" s="225">
        <v>0</v>
      </c>
      <c r="V7" s="226"/>
      <c r="W7" s="224"/>
      <c r="X7" s="225">
        <v>0</v>
      </c>
      <c r="Y7" s="225">
        <v>0</v>
      </c>
      <c r="Z7" s="226"/>
      <c r="AA7" s="224"/>
      <c r="AB7" s="225">
        <v>0</v>
      </c>
      <c r="AC7" s="225">
        <v>0</v>
      </c>
      <c r="AD7" s="226"/>
      <c r="AE7" s="224"/>
      <c r="AF7" s="227">
        <f>SUM(AF6)</f>
        <v>0</v>
      </c>
      <c r="AG7" s="227">
        <f>SUM(AG6)</f>
        <v>0</v>
      </c>
      <c r="AH7" s="225">
        <f>SUM(AH6)</f>
        <v>0</v>
      </c>
      <c r="AI7" s="226"/>
      <c r="AJ7" s="226"/>
      <c r="AK7" s="227">
        <f>SUM(AK6)</f>
        <v>0</v>
      </c>
      <c r="AL7" s="225">
        <f>SUM(AL6)</f>
        <v>0</v>
      </c>
      <c r="AM7" s="226"/>
      <c r="AN7" s="226"/>
      <c r="AO7" s="227">
        <f>SUM(AO6)</f>
        <v>0</v>
      </c>
      <c r="AP7" s="225">
        <f>AO7-T7</f>
        <v>0</v>
      </c>
      <c r="AQ7" s="226"/>
      <c r="AR7" s="224"/>
    </row>
    <row r="8" spans="1:44" x14ac:dyDescent="0.25">
      <c r="D8" s="112"/>
      <c r="E8" s="112"/>
      <c r="F8" s="112"/>
      <c r="H8" s="112"/>
      <c r="I8" s="112"/>
      <c r="J8" s="112"/>
      <c r="L8" s="112"/>
      <c r="M8" s="112"/>
      <c r="N8" s="112"/>
      <c r="P8" s="112"/>
      <c r="Q8" s="112"/>
      <c r="R8" s="112"/>
      <c r="T8" s="112"/>
      <c r="U8" s="112"/>
      <c r="V8" s="112"/>
      <c r="X8" s="112"/>
      <c r="Y8" s="112"/>
      <c r="Z8" s="80"/>
      <c r="AB8" s="112"/>
      <c r="AC8" s="112"/>
      <c r="AD8" s="80"/>
      <c r="AF8" s="212"/>
      <c r="AG8" s="212"/>
      <c r="AH8" s="112"/>
      <c r="AI8" s="216"/>
      <c r="AJ8" s="80"/>
      <c r="AK8" s="399"/>
      <c r="AL8" s="112"/>
      <c r="AM8" s="396"/>
      <c r="AN8" s="396"/>
      <c r="AP8" s="154"/>
      <c r="AQ8" s="80"/>
    </row>
    <row r="9" spans="1:44" x14ac:dyDescent="0.25">
      <c r="C9" s="111" t="s">
        <v>277</v>
      </c>
      <c r="D9" s="112"/>
      <c r="E9" s="112"/>
      <c r="F9" s="112"/>
      <c r="H9" s="112"/>
      <c r="I9" s="112"/>
      <c r="J9" s="112"/>
      <c r="L9" s="112"/>
      <c r="M9" s="112"/>
      <c r="N9" s="112"/>
      <c r="P9" s="112"/>
      <c r="Q9" s="112"/>
      <c r="R9" s="112"/>
      <c r="T9" s="112"/>
      <c r="U9" s="112"/>
      <c r="V9" s="112"/>
      <c r="X9" s="112"/>
      <c r="Y9" s="112"/>
      <c r="Z9" s="80"/>
      <c r="AB9" s="112"/>
      <c r="AC9" s="112"/>
      <c r="AD9" s="80"/>
      <c r="AF9" s="212"/>
      <c r="AG9" s="212"/>
      <c r="AH9" s="112"/>
      <c r="AI9" s="216"/>
      <c r="AJ9" s="80"/>
      <c r="AK9" s="399"/>
      <c r="AL9" s="112"/>
      <c r="AM9" s="396"/>
      <c r="AN9" s="396"/>
      <c r="AQ9" s="80"/>
      <c r="AR9" s="111"/>
    </row>
    <row r="10" spans="1:44" s="211" customFormat="1" x14ac:dyDescent="0.25">
      <c r="A10" s="211" t="s">
        <v>823</v>
      </c>
      <c r="B10" s="214" t="str">
        <f t="shared" ref="B10:B20" si="0">MID(A10,14,4)</f>
        <v>5909</v>
      </c>
      <c r="C10" s="211" t="s">
        <v>1726</v>
      </c>
      <c r="D10" s="112">
        <v>175000</v>
      </c>
      <c r="E10" s="112">
        <v>175000</v>
      </c>
      <c r="F10" s="216"/>
      <c r="G10" s="213"/>
      <c r="H10" s="112">
        <v>185000</v>
      </c>
      <c r="I10" s="112">
        <v>185000</v>
      </c>
      <c r="J10" s="396">
        <f t="shared" ref="J10:J19" si="1">(H10-D10)/D10</f>
        <v>5.7142857142857141E-2</v>
      </c>
      <c r="K10" s="213"/>
      <c r="L10" s="112">
        <v>185000</v>
      </c>
      <c r="M10" s="112">
        <v>180000</v>
      </c>
      <c r="N10" s="396">
        <f t="shared" ref="N10:N19" si="2">(L10-H10)/H10</f>
        <v>0</v>
      </c>
      <c r="O10" s="213"/>
      <c r="P10" s="112">
        <v>175000</v>
      </c>
      <c r="Q10" s="112">
        <v>175000</v>
      </c>
      <c r="R10" s="396">
        <f t="shared" ref="R10:R19" si="3">(P10-L10)/L10</f>
        <v>-5.4054054054054057E-2</v>
      </c>
      <c r="S10" s="213"/>
      <c r="T10" s="112">
        <v>170000</v>
      </c>
      <c r="U10" s="112">
        <v>170000</v>
      </c>
      <c r="V10" s="396">
        <f t="shared" ref="V10:V19" si="4">(T10-P10)/P10</f>
        <v>-2.8571428571428571E-2</v>
      </c>
      <c r="W10" s="213"/>
      <c r="X10" s="112">
        <v>170000</v>
      </c>
      <c r="Y10" s="112">
        <v>170000</v>
      </c>
      <c r="Z10" s="396">
        <f t="shared" ref="Z10:Z19" si="5">(X10-T10)/T10</f>
        <v>0</v>
      </c>
      <c r="AA10" s="213"/>
      <c r="AB10" s="112">
        <v>170000</v>
      </c>
      <c r="AC10" s="112">
        <v>170000</v>
      </c>
      <c r="AD10" s="396">
        <f t="shared" ref="AD10:AD19" si="6">(AB10-X10)/X10</f>
        <v>0</v>
      </c>
      <c r="AE10" s="213"/>
      <c r="AF10" s="157">
        <v>165000</v>
      </c>
      <c r="AG10" s="157">
        <v>165000</v>
      </c>
      <c r="AH10" s="112">
        <v>165000</v>
      </c>
      <c r="AI10" s="216">
        <f>(AG10-AB10)/AB10</f>
        <v>-2.9411764705882353E-2</v>
      </c>
      <c r="AJ10" s="216"/>
      <c r="AK10" s="157">
        <v>145000</v>
      </c>
      <c r="AL10" s="112">
        <v>145000</v>
      </c>
      <c r="AM10" s="396">
        <f>(AK10-AG10)/AG10</f>
        <v>-0.12121212121212122</v>
      </c>
      <c r="AN10" s="396"/>
      <c r="AO10" s="157"/>
      <c r="AP10" s="245">
        <f>AO10-AK10</f>
        <v>-145000</v>
      </c>
      <c r="AQ10" s="396">
        <f>AP10/AK10</f>
        <v>-1</v>
      </c>
      <c r="AR10" s="159"/>
    </row>
    <row r="11" spans="1:44" s="211" customFormat="1" x14ac:dyDescent="0.25">
      <c r="A11" s="211" t="s">
        <v>824</v>
      </c>
      <c r="B11" s="214" t="str">
        <f t="shared" si="0"/>
        <v>5910</v>
      </c>
      <c r="C11" s="211" t="s">
        <v>1727</v>
      </c>
      <c r="D11" s="112">
        <v>-175000</v>
      </c>
      <c r="E11" s="112">
        <v>-175000</v>
      </c>
      <c r="F11" s="216"/>
      <c r="G11" s="213"/>
      <c r="H11" s="112">
        <v>-185000</v>
      </c>
      <c r="I11" s="112">
        <v>-185000</v>
      </c>
      <c r="J11" s="396">
        <f t="shared" si="1"/>
        <v>5.7142857142857141E-2</v>
      </c>
      <c r="K11" s="213"/>
      <c r="L11" s="112">
        <v>-185000</v>
      </c>
      <c r="M11" s="112">
        <v>-180000</v>
      </c>
      <c r="N11" s="396">
        <f t="shared" si="2"/>
        <v>0</v>
      </c>
      <c r="O11" s="213"/>
      <c r="P11" s="112">
        <v>-175000</v>
      </c>
      <c r="Q11" s="112">
        <v>-175000</v>
      </c>
      <c r="R11" s="396">
        <f t="shared" si="3"/>
        <v>-5.4054054054054057E-2</v>
      </c>
      <c r="S11" s="213"/>
      <c r="T11" s="112">
        <v>-170000</v>
      </c>
      <c r="U11" s="112">
        <v>-170000</v>
      </c>
      <c r="V11" s="396">
        <f t="shared" si="4"/>
        <v>-2.8571428571428571E-2</v>
      </c>
      <c r="W11" s="213"/>
      <c r="X11" s="112">
        <v>-170000</v>
      </c>
      <c r="Y11" s="112">
        <v>-170000</v>
      </c>
      <c r="Z11" s="396">
        <f t="shared" si="5"/>
        <v>0</v>
      </c>
      <c r="AA11" s="213"/>
      <c r="AB11" s="112">
        <v>-170000</v>
      </c>
      <c r="AC11" s="112">
        <v>-170000</v>
      </c>
      <c r="AD11" s="396">
        <f t="shared" si="6"/>
        <v>0</v>
      </c>
      <c r="AE11" s="213"/>
      <c r="AF11" s="112">
        <v>-165000</v>
      </c>
      <c r="AG11" s="112">
        <v>-165000</v>
      </c>
      <c r="AH11" s="112">
        <v>-165000</v>
      </c>
      <c r="AI11" s="216">
        <f t="shared" ref="AI11:AI23" si="7">(AG11-AB11)/AB11</f>
        <v>-2.9411764705882353E-2</v>
      </c>
      <c r="AJ11" s="216"/>
      <c r="AK11" s="112">
        <v>-145000</v>
      </c>
      <c r="AL11" s="112">
        <v>-145000</v>
      </c>
      <c r="AM11" s="396">
        <f t="shared" ref="AM11:AM18" si="8">(AK11-AG11)/AG11</f>
        <v>-0.12121212121212122</v>
      </c>
      <c r="AN11" s="396"/>
      <c r="AO11" s="157"/>
      <c r="AP11" s="398">
        <f t="shared" ref="AP11:AP20" si="9">AO11-AK11</f>
        <v>145000</v>
      </c>
      <c r="AQ11" s="396">
        <f t="shared" ref="AQ11:AQ20" si="10">AP11/AK11</f>
        <v>-1</v>
      </c>
      <c r="AR11" s="159"/>
    </row>
    <row r="12" spans="1:44" s="211" customFormat="1" x14ac:dyDescent="0.25">
      <c r="A12" s="211" t="s">
        <v>825</v>
      </c>
      <c r="B12" s="214" t="str">
        <f t="shared" si="0"/>
        <v>5913</v>
      </c>
      <c r="C12" s="248" t="s">
        <v>1728</v>
      </c>
      <c r="D12" s="112">
        <v>10000</v>
      </c>
      <c r="E12" s="112">
        <v>10000</v>
      </c>
      <c r="F12" s="216"/>
      <c r="G12" s="213"/>
      <c r="H12" s="112">
        <v>10000</v>
      </c>
      <c r="I12" s="112">
        <v>10000</v>
      </c>
      <c r="J12" s="396">
        <f t="shared" si="1"/>
        <v>0</v>
      </c>
      <c r="K12" s="213"/>
      <c r="L12" s="112">
        <v>10000</v>
      </c>
      <c r="M12" s="112">
        <v>10000</v>
      </c>
      <c r="N12" s="396">
        <f t="shared" si="2"/>
        <v>0</v>
      </c>
      <c r="O12" s="213"/>
      <c r="P12" s="112">
        <v>10000</v>
      </c>
      <c r="Q12" s="112">
        <v>10000</v>
      </c>
      <c r="R12" s="396">
        <f t="shared" si="3"/>
        <v>0</v>
      </c>
      <c r="S12" s="213"/>
      <c r="T12" s="112">
        <v>10000</v>
      </c>
      <c r="U12" s="112">
        <v>10000</v>
      </c>
      <c r="V12" s="396">
        <f t="shared" si="4"/>
        <v>0</v>
      </c>
      <c r="W12" s="213"/>
      <c r="X12" s="112">
        <v>10357.14</v>
      </c>
      <c r="Y12" s="112">
        <v>10357.14</v>
      </c>
      <c r="Z12" s="396">
        <f t="shared" si="5"/>
        <v>3.571399999999994E-2</v>
      </c>
      <c r="AA12" s="213"/>
      <c r="AB12" s="112">
        <v>10357.14</v>
      </c>
      <c r="AC12" s="112">
        <v>10357.14</v>
      </c>
      <c r="AD12" s="396">
        <f t="shared" si="6"/>
        <v>0</v>
      </c>
      <c r="AE12" s="213"/>
      <c r="AF12" s="112">
        <v>10370.370000000001</v>
      </c>
      <c r="AG12" s="112">
        <v>10370.370000000001</v>
      </c>
      <c r="AH12" s="112">
        <v>10370.370000000001</v>
      </c>
      <c r="AI12" s="216">
        <f t="shared" si="7"/>
        <v>1.2773796627255577E-3</v>
      </c>
      <c r="AJ12" s="216"/>
      <c r="AK12" s="112">
        <v>10000</v>
      </c>
      <c r="AL12" s="112">
        <v>10000</v>
      </c>
      <c r="AM12" s="396">
        <f t="shared" si="8"/>
        <v>-3.5714251275509049E-2</v>
      </c>
      <c r="AN12" s="396"/>
      <c r="AO12" s="157">
        <v>10000</v>
      </c>
      <c r="AP12" s="398">
        <f t="shared" si="9"/>
        <v>0</v>
      </c>
      <c r="AQ12" s="396">
        <f t="shared" si="10"/>
        <v>0</v>
      </c>
      <c r="AR12" s="159"/>
    </row>
    <row r="13" spans="1:44" s="211" customFormat="1" x14ac:dyDescent="0.25">
      <c r="A13" s="211" t="s">
        <v>826</v>
      </c>
      <c r="B13" s="214" t="str">
        <f t="shared" si="0"/>
        <v>5915</v>
      </c>
      <c r="C13" s="248" t="s">
        <v>1729</v>
      </c>
      <c r="D13" s="112">
        <v>45000</v>
      </c>
      <c r="E13" s="112">
        <v>45000</v>
      </c>
      <c r="F13" s="216"/>
      <c r="G13" s="213"/>
      <c r="H13" s="112">
        <v>45000</v>
      </c>
      <c r="I13" s="112">
        <v>45000</v>
      </c>
      <c r="J13" s="396">
        <f t="shared" si="1"/>
        <v>0</v>
      </c>
      <c r="K13" s="213"/>
      <c r="L13" s="112">
        <v>45000</v>
      </c>
      <c r="M13" s="112">
        <v>45000</v>
      </c>
      <c r="N13" s="396">
        <f t="shared" si="2"/>
        <v>0</v>
      </c>
      <c r="O13" s="213"/>
      <c r="P13" s="112">
        <v>45000</v>
      </c>
      <c r="Q13" s="112">
        <v>45000</v>
      </c>
      <c r="R13" s="396">
        <f t="shared" si="3"/>
        <v>0</v>
      </c>
      <c r="S13" s="213"/>
      <c r="T13" s="112">
        <v>45000</v>
      </c>
      <c r="U13" s="112">
        <v>45000</v>
      </c>
      <c r="V13" s="396">
        <f t="shared" si="4"/>
        <v>0</v>
      </c>
      <c r="W13" s="213"/>
      <c r="X13" s="112">
        <v>46607.14</v>
      </c>
      <c r="Y13" s="112">
        <v>46607.14</v>
      </c>
      <c r="Z13" s="396">
        <f t="shared" si="5"/>
        <v>3.571422222222221E-2</v>
      </c>
      <c r="AA13" s="213"/>
      <c r="AB13" s="112">
        <v>46607.14</v>
      </c>
      <c r="AC13" s="112">
        <v>46607.15</v>
      </c>
      <c r="AD13" s="396">
        <f t="shared" si="6"/>
        <v>0</v>
      </c>
      <c r="AE13" s="213"/>
      <c r="AF13" s="112">
        <v>46666.67</v>
      </c>
      <c r="AG13" s="112">
        <v>46666.67</v>
      </c>
      <c r="AH13" s="112">
        <v>46666.67</v>
      </c>
      <c r="AI13" s="216">
        <f t="shared" si="7"/>
        <v>1.2772721089515219E-3</v>
      </c>
      <c r="AJ13" s="216"/>
      <c r="AK13" s="112">
        <v>45000</v>
      </c>
      <c r="AL13" s="112">
        <v>45000</v>
      </c>
      <c r="AM13" s="396">
        <f t="shared" si="8"/>
        <v>-3.5714354591831782E-2</v>
      </c>
      <c r="AN13" s="396"/>
      <c r="AO13" s="157">
        <v>45000</v>
      </c>
      <c r="AP13" s="398">
        <f t="shared" si="9"/>
        <v>0</v>
      </c>
      <c r="AQ13" s="396">
        <f t="shared" si="10"/>
        <v>0</v>
      </c>
      <c r="AR13" s="289"/>
    </row>
    <row r="14" spans="1:44" s="211" customFormat="1" x14ac:dyDescent="0.25">
      <c r="A14" s="211" t="s">
        <v>827</v>
      </c>
      <c r="B14" s="214" t="str">
        <f t="shared" si="0"/>
        <v>5916</v>
      </c>
      <c r="C14" s="248" t="s">
        <v>1730</v>
      </c>
      <c r="D14" s="112">
        <v>85000</v>
      </c>
      <c r="E14" s="112">
        <v>85000</v>
      </c>
      <c r="F14" s="216"/>
      <c r="G14" s="213"/>
      <c r="H14" s="112">
        <v>85000</v>
      </c>
      <c r="I14" s="112">
        <v>85000</v>
      </c>
      <c r="J14" s="396">
        <f t="shared" si="1"/>
        <v>0</v>
      </c>
      <c r="K14" s="213"/>
      <c r="L14" s="112">
        <v>85000</v>
      </c>
      <c r="M14" s="112">
        <v>85000</v>
      </c>
      <c r="N14" s="396">
        <f t="shared" si="2"/>
        <v>0</v>
      </c>
      <c r="O14" s="213"/>
      <c r="P14" s="112">
        <v>85000</v>
      </c>
      <c r="Q14" s="112">
        <v>85000</v>
      </c>
      <c r="R14" s="396">
        <f t="shared" si="3"/>
        <v>0</v>
      </c>
      <c r="S14" s="213"/>
      <c r="T14" s="112">
        <v>85000</v>
      </c>
      <c r="U14" s="112">
        <v>85000</v>
      </c>
      <c r="V14" s="396">
        <f t="shared" si="4"/>
        <v>0</v>
      </c>
      <c r="W14" s="213"/>
      <c r="X14" s="112">
        <v>88035.71</v>
      </c>
      <c r="Y14" s="112">
        <v>88035.72</v>
      </c>
      <c r="Z14" s="396">
        <f t="shared" si="5"/>
        <v>3.571423529411772E-2</v>
      </c>
      <c r="AA14" s="213"/>
      <c r="AB14" s="112">
        <v>88035.71</v>
      </c>
      <c r="AC14" s="112">
        <v>88035.71</v>
      </c>
      <c r="AD14" s="396">
        <f t="shared" si="6"/>
        <v>0</v>
      </c>
      <c r="AE14" s="213"/>
      <c r="AF14" s="112">
        <v>82962.960000000006</v>
      </c>
      <c r="AG14" s="112">
        <v>82962.960000000006</v>
      </c>
      <c r="AH14" s="112">
        <v>82962.960000000006</v>
      </c>
      <c r="AI14" s="216">
        <f t="shared" si="7"/>
        <v>-5.7621503819302415E-2</v>
      </c>
      <c r="AJ14" s="216"/>
      <c r="AK14" s="112">
        <v>80000</v>
      </c>
      <c r="AL14" s="112">
        <v>80000</v>
      </c>
      <c r="AM14" s="396">
        <f t="shared" si="8"/>
        <v>-3.5714251275509049E-2</v>
      </c>
      <c r="AN14" s="396"/>
      <c r="AO14" s="157">
        <v>80000</v>
      </c>
      <c r="AP14" s="398">
        <f t="shared" si="9"/>
        <v>0</v>
      </c>
      <c r="AQ14" s="396">
        <f t="shared" si="10"/>
        <v>0</v>
      </c>
      <c r="AR14" s="159"/>
    </row>
    <row r="15" spans="1:44" s="211" customFormat="1" hidden="1" x14ac:dyDescent="0.25">
      <c r="A15" s="211" t="s">
        <v>828</v>
      </c>
      <c r="B15" s="214" t="str">
        <f t="shared" si="0"/>
        <v>5917</v>
      </c>
      <c r="C15" s="211" t="s">
        <v>1731</v>
      </c>
      <c r="D15" s="112">
        <v>30000</v>
      </c>
      <c r="E15" s="112">
        <v>30000</v>
      </c>
      <c r="F15" s="216"/>
      <c r="G15" s="213"/>
      <c r="H15" s="112">
        <v>30000</v>
      </c>
      <c r="I15" s="112">
        <v>30000</v>
      </c>
      <c r="J15" s="396">
        <f t="shared" si="1"/>
        <v>0</v>
      </c>
      <c r="K15" s="213"/>
      <c r="L15" s="112">
        <v>30000</v>
      </c>
      <c r="M15" s="112">
        <v>30000</v>
      </c>
      <c r="N15" s="396">
        <f t="shared" si="2"/>
        <v>0</v>
      </c>
      <c r="O15" s="213"/>
      <c r="P15" s="112">
        <v>30000</v>
      </c>
      <c r="Q15" s="112">
        <v>30000</v>
      </c>
      <c r="R15" s="396">
        <f t="shared" si="3"/>
        <v>0</v>
      </c>
      <c r="S15" s="213"/>
      <c r="T15" s="112">
        <v>20000</v>
      </c>
      <c r="U15" s="112">
        <v>20000</v>
      </c>
      <c r="V15" s="396">
        <f t="shared" si="4"/>
        <v>-0.33333333333333331</v>
      </c>
      <c r="W15" s="213"/>
      <c r="X15" s="112">
        <v>0</v>
      </c>
      <c r="Y15" s="112">
        <v>0</v>
      </c>
      <c r="Z15" s="396">
        <f t="shared" si="5"/>
        <v>-1</v>
      </c>
      <c r="AA15" s="213"/>
      <c r="AB15" s="112">
        <v>0</v>
      </c>
      <c r="AC15" s="112">
        <v>0</v>
      </c>
      <c r="AD15" s="396" t="e">
        <f t="shared" si="6"/>
        <v>#DIV/0!</v>
      </c>
      <c r="AE15" s="213"/>
      <c r="AF15" s="112"/>
      <c r="AG15" s="112"/>
      <c r="AH15" s="112"/>
      <c r="AI15" s="216" t="e">
        <f t="shared" si="7"/>
        <v>#DIV/0!</v>
      </c>
      <c r="AJ15" s="216"/>
      <c r="AK15" s="112"/>
      <c r="AL15" s="112"/>
      <c r="AM15" s="396" t="e">
        <f t="shared" si="8"/>
        <v>#DIV/0!</v>
      </c>
      <c r="AN15" s="396"/>
      <c r="AO15" s="157"/>
      <c r="AP15" s="398">
        <f t="shared" si="9"/>
        <v>0</v>
      </c>
      <c r="AQ15" s="396" t="e">
        <f t="shared" si="10"/>
        <v>#DIV/0!</v>
      </c>
      <c r="AR15" s="159"/>
    </row>
    <row r="16" spans="1:44" s="211" customFormat="1" hidden="1" x14ac:dyDescent="0.25">
      <c r="A16" s="211" t="s">
        <v>829</v>
      </c>
      <c r="B16" s="214" t="str">
        <f t="shared" si="0"/>
        <v>5918</v>
      </c>
      <c r="C16" s="211" t="s">
        <v>1732</v>
      </c>
      <c r="D16" s="112">
        <v>25000</v>
      </c>
      <c r="E16" s="112">
        <v>25000</v>
      </c>
      <c r="F16" s="216"/>
      <c r="G16" s="213"/>
      <c r="H16" s="112">
        <v>25000</v>
      </c>
      <c r="I16" s="112">
        <v>25000</v>
      </c>
      <c r="J16" s="396">
        <f t="shared" si="1"/>
        <v>0</v>
      </c>
      <c r="K16" s="213"/>
      <c r="L16" s="112">
        <v>25000</v>
      </c>
      <c r="M16" s="112">
        <v>25000</v>
      </c>
      <c r="N16" s="396">
        <f t="shared" si="2"/>
        <v>0</v>
      </c>
      <c r="O16" s="213"/>
      <c r="P16" s="112">
        <v>25000</v>
      </c>
      <c r="Q16" s="112">
        <v>25000</v>
      </c>
      <c r="R16" s="396">
        <f t="shared" si="3"/>
        <v>0</v>
      </c>
      <c r="S16" s="213"/>
      <c r="T16" s="112">
        <v>25000</v>
      </c>
      <c r="U16" s="112">
        <v>25000</v>
      </c>
      <c r="V16" s="396">
        <f t="shared" si="4"/>
        <v>0</v>
      </c>
      <c r="W16" s="213"/>
      <c r="X16" s="112">
        <v>0</v>
      </c>
      <c r="Y16" s="112">
        <v>0</v>
      </c>
      <c r="Z16" s="396">
        <f t="shared" si="5"/>
        <v>-1</v>
      </c>
      <c r="AA16" s="213"/>
      <c r="AB16" s="112">
        <v>0</v>
      </c>
      <c r="AC16" s="112">
        <v>0</v>
      </c>
      <c r="AD16" s="396" t="e">
        <f t="shared" si="6"/>
        <v>#DIV/0!</v>
      </c>
      <c r="AE16" s="213"/>
      <c r="AF16" s="112"/>
      <c r="AG16" s="112"/>
      <c r="AH16" s="112"/>
      <c r="AI16" s="216" t="e">
        <f t="shared" si="7"/>
        <v>#DIV/0!</v>
      </c>
      <c r="AJ16" s="216"/>
      <c r="AK16" s="112"/>
      <c r="AL16" s="112"/>
      <c r="AM16" s="396" t="e">
        <f t="shared" si="8"/>
        <v>#DIV/0!</v>
      </c>
      <c r="AN16" s="396"/>
      <c r="AO16" s="157"/>
      <c r="AP16" s="398">
        <f t="shared" si="9"/>
        <v>0</v>
      </c>
      <c r="AQ16" s="396" t="e">
        <f t="shared" si="10"/>
        <v>#DIV/0!</v>
      </c>
      <c r="AR16" s="159"/>
    </row>
    <row r="17" spans="1:44" s="211" customFormat="1" x14ac:dyDescent="0.25">
      <c r="A17" s="211" t="s">
        <v>830</v>
      </c>
      <c r="B17" s="214" t="str">
        <f t="shared" si="0"/>
        <v>5920</v>
      </c>
      <c r="C17" s="211" t="s">
        <v>1733</v>
      </c>
      <c r="D17" s="112">
        <v>0</v>
      </c>
      <c r="E17" s="112">
        <v>0</v>
      </c>
      <c r="F17" s="216"/>
      <c r="G17" s="213"/>
      <c r="H17" s="112">
        <v>100000</v>
      </c>
      <c r="I17" s="112">
        <v>100000</v>
      </c>
      <c r="J17" s="396" t="e">
        <f t="shared" si="1"/>
        <v>#DIV/0!</v>
      </c>
      <c r="K17" s="213"/>
      <c r="L17" s="112">
        <v>100000</v>
      </c>
      <c r="M17" s="112">
        <v>100000</v>
      </c>
      <c r="N17" s="396">
        <f t="shared" si="2"/>
        <v>0</v>
      </c>
      <c r="O17" s="213"/>
      <c r="P17" s="112">
        <v>100000</v>
      </c>
      <c r="Q17" s="112">
        <v>100000</v>
      </c>
      <c r="R17" s="396">
        <f t="shared" si="3"/>
        <v>0</v>
      </c>
      <c r="S17" s="213"/>
      <c r="T17" s="112">
        <v>100000</v>
      </c>
      <c r="U17" s="112">
        <v>100000</v>
      </c>
      <c r="V17" s="396">
        <f t="shared" si="4"/>
        <v>0</v>
      </c>
      <c r="W17" s="213"/>
      <c r="X17" s="112">
        <v>100000</v>
      </c>
      <c r="Y17" s="112">
        <v>100000</v>
      </c>
      <c r="Z17" s="396">
        <f t="shared" si="5"/>
        <v>0</v>
      </c>
      <c r="AA17" s="213"/>
      <c r="AB17" s="112">
        <v>100000</v>
      </c>
      <c r="AC17" s="112">
        <v>100000</v>
      </c>
      <c r="AD17" s="396">
        <f t="shared" si="6"/>
        <v>0</v>
      </c>
      <c r="AE17" s="213"/>
      <c r="AF17" s="112">
        <v>100000</v>
      </c>
      <c r="AG17" s="112">
        <v>100000</v>
      </c>
      <c r="AH17" s="112">
        <v>100000</v>
      </c>
      <c r="AI17" s="216">
        <f t="shared" si="7"/>
        <v>0</v>
      </c>
      <c r="AJ17" s="216"/>
      <c r="AK17" s="112">
        <v>100000</v>
      </c>
      <c r="AL17" s="112">
        <v>100000</v>
      </c>
      <c r="AM17" s="396">
        <f t="shared" si="8"/>
        <v>0</v>
      </c>
      <c r="AN17" s="396"/>
      <c r="AO17" s="157">
        <v>100000</v>
      </c>
      <c r="AP17" s="398">
        <f t="shared" si="9"/>
        <v>0</v>
      </c>
      <c r="AQ17" s="396">
        <f t="shared" si="10"/>
        <v>0</v>
      </c>
      <c r="AR17" s="159"/>
    </row>
    <row r="18" spans="1:44" s="211" customFormat="1" x14ac:dyDescent="0.25">
      <c r="A18" s="211" t="s">
        <v>1081</v>
      </c>
      <c r="B18" s="214" t="str">
        <f>MID(A18,14,4)</f>
        <v>5922</v>
      </c>
      <c r="C18" s="211" t="s">
        <v>1735</v>
      </c>
      <c r="D18" s="112">
        <v>0</v>
      </c>
      <c r="E18" s="112">
        <v>0</v>
      </c>
      <c r="F18" s="216"/>
      <c r="G18" s="213"/>
      <c r="H18" s="112">
        <v>0</v>
      </c>
      <c r="I18" s="112">
        <v>0</v>
      </c>
      <c r="J18" s="396" t="e">
        <f t="shared" si="1"/>
        <v>#DIV/0!</v>
      </c>
      <c r="K18" s="213"/>
      <c r="L18" s="112">
        <v>130000</v>
      </c>
      <c r="M18" s="112">
        <v>130000</v>
      </c>
      <c r="N18" s="396" t="e">
        <f t="shared" si="2"/>
        <v>#DIV/0!</v>
      </c>
      <c r="O18" s="213"/>
      <c r="P18" s="112">
        <v>130000</v>
      </c>
      <c r="Q18" s="112">
        <v>130000</v>
      </c>
      <c r="R18" s="396">
        <f t="shared" si="3"/>
        <v>0</v>
      </c>
      <c r="S18" s="213"/>
      <c r="T18" s="112">
        <v>130000</v>
      </c>
      <c r="U18" s="112">
        <v>130000</v>
      </c>
      <c r="V18" s="396">
        <f t="shared" si="4"/>
        <v>0</v>
      </c>
      <c r="W18" s="213"/>
      <c r="X18" s="112">
        <v>130000</v>
      </c>
      <c r="Y18" s="112">
        <v>130000</v>
      </c>
      <c r="Z18" s="396">
        <f t="shared" si="5"/>
        <v>0</v>
      </c>
      <c r="AA18" s="213"/>
      <c r="AB18" s="112">
        <v>130000</v>
      </c>
      <c r="AC18" s="112">
        <v>130000</v>
      </c>
      <c r="AD18" s="396">
        <f t="shared" si="6"/>
        <v>0</v>
      </c>
      <c r="AE18" s="213"/>
      <c r="AF18" s="112">
        <v>130000</v>
      </c>
      <c r="AG18" s="112">
        <v>130000</v>
      </c>
      <c r="AH18" s="112">
        <v>130000</v>
      </c>
      <c r="AI18" s="216">
        <f>(AG18-AB18)/AB18</f>
        <v>0</v>
      </c>
      <c r="AJ18" s="216"/>
      <c r="AK18" s="112">
        <v>130000</v>
      </c>
      <c r="AL18" s="112">
        <v>0</v>
      </c>
      <c r="AM18" s="396">
        <f t="shared" si="8"/>
        <v>0</v>
      </c>
      <c r="AN18" s="396"/>
      <c r="AO18" s="157">
        <v>130000</v>
      </c>
      <c r="AP18" s="398">
        <f>AO18-AK18</f>
        <v>0</v>
      </c>
      <c r="AQ18" s="396">
        <f t="shared" si="10"/>
        <v>0</v>
      </c>
      <c r="AR18" s="159"/>
    </row>
    <row r="19" spans="1:44" s="211" customFormat="1" x14ac:dyDescent="0.25">
      <c r="A19" s="211" t="s">
        <v>1080</v>
      </c>
      <c r="B19" s="214" t="str">
        <f t="shared" si="0"/>
        <v>5923</v>
      </c>
      <c r="C19" s="211" t="s">
        <v>1734</v>
      </c>
      <c r="D19" s="112">
        <v>0</v>
      </c>
      <c r="E19" s="112">
        <v>0</v>
      </c>
      <c r="F19" s="216"/>
      <c r="G19" s="213"/>
      <c r="H19" s="112">
        <v>0</v>
      </c>
      <c r="I19" s="112">
        <v>0</v>
      </c>
      <c r="J19" s="396" t="e">
        <f t="shared" si="1"/>
        <v>#DIV/0!</v>
      </c>
      <c r="K19" s="213"/>
      <c r="L19" s="112">
        <v>0</v>
      </c>
      <c r="M19" s="112">
        <v>0</v>
      </c>
      <c r="N19" s="396" t="e">
        <f t="shared" si="2"/>
        <v>#DIV/0!</v>
      </c>
      <c r="O19" s="213"/>
      <c r="P19" s="112">
        <v>0</v>
      </c>
      <c r="Q19" s="112">
        <v>-30000</v>
      </c>
      <c r="R19" s="396" t="e">
        <f t="shared" si="3"/>
        <v>#DIV/0!</v>
      </c>
      <c r="S19" s="213"/>
      <c r="T19" s="112">
        <v>0</v>
      </c>
      <c r="U19" s="112">
        <v>0</v>
      </c>
      <c r="V19" s="396" t="e">
        <f t="shared" si="4"/>
        <v>#DIV/0!</v>
      </c>
      <c r="W19" s="213"/>
      <c r="X19" s="112">
        <v>0</v>
      </c>
      <c r="Y19" s="112">
        <v>-75100.41</v>
      </c>
      <c r="Z19" s="396" t="e">
        <f t="shared" si="5"/>
        <v>#DIV/0!</v>
      </c>
      <c r="AA19" s="213"/>
      <c r="AB19" s="112">
        <v>0</v>
      </c>
      <c r="AC19" s="112">
        <v>-42779.59</v>
      </c>
      <c r="AD19" s="396" t="e">
        <f t="shared" si="6"/>
        <v>#DIV/0!</v>
      </c>
      <c r="AE19" s="213"/>
      <c r="AF19" s="112"/>
      <c r="AG19" s="112"/>
      <c r="AH19" s="112"/>
      <c r="AI19" s="216"/>
      <c r="AJ19" s="216"/>
      <c r="AK19" s="112"/>
      <c r="AL19" s="112">
        <v>-6332</v>
      </c>
      <c r="AM19" s="396"/>
      <c r="AN19" s="396"/>
      <c r="AO19" s="157"/>
      <c r="AP19" s="398">
        <f t="shared" si="9"/>
        <v>0</v>
      </c>
      <c r="AQ19" s="396"/>
      <c r="AR19" s="159"/>
    </row>
    <row r="20" spans="1:44" x14ac:dyDescent="0.25">
      <c r="A20" s="214" t="s">
        <v>1078</v>
      </c>
      <c r="B20" s="214" t="str">
        <f t="shared" si="0"/>
        <v>5924</v>
      </c>
      <c r="C20" s="161" t="s">
        <v>1736</v>
      </c>
      <c r="D20" s="112">
        <v>0</v>
      </c>
      <c r="E20" s="112">
        <v>0</v>
      </c>
      <c r="F20" s="216"/>
      <c r="H20" s="112">
        <v>0</v>
      </c>
      <c r="I20" s="112">
        <v>0</v>
      </c>
      <c r="J20" s="396" t="e">
        <f>(H20-D20)/D20</f>
        <v>#DIV/0!</v>
      </c>
      <c r="L20" s="112">
        <v>0</v>
      </c>
      <c r="M20" s="112">
        <v>0</v>
      </c>
      <c r="N20" s="396" t="e">
        <f>(L20-H20)/H20</f>
        <v>#DIV/0!</v>
      </c>
      <c r="P20" s="112">
        <v>0</v>
      </c>
      <c r="Q20" s="112">
        <v>0</v>
      </c>
      <c r="R20" s="396" t="e">
        <f>(P20-L20)/L20</f>
        <v>#DIV/0!</v>
      </c>
      <c r="T20" s="112">
        <v>0</v>
      </c>
      <c r="U20" s="112">
        <v>0</v>
      </c>
      <c r="V20" s="396" t="e">
        <f>(T20-P20)/P20</f>
        <v>#DIV/0!</v>
      </c>
      <c r="W20" s="213"/>
      <c r="X20" s="112">
        <v>75000</v>
      </c>
      <c r="Y20" s="112">
        <v>75000</v>
      </c>
      <c r="Z20" s="396" t="e">
        <f>(X20-T20)/T20</f>
        <v>#DIV/0!</v>
      </c>
      <c r="AA20" s="213"/>
      <c r="AB20" s="112">
        <v>75000</v>
      </c>
      <c r="AC20" s="112">
        <v>75000</v>
      </c>
      <c r="AD20" s="396">
        <f>(AB20-X20)/X20</f>
        <v>0</v>
      </c>
      <c r="AF20" s="112">
        <v>75000</v>
      </c>
      <c r="AG20" s="112">
        <v>75000</v>
      </c>
      <c r="AH20" s="112">
        <v>75000</v>
      </c>
      <c r="AI20" s="216">
        <f t="shared" si="7"/>
        <v>0</v>
      </c>
      <c r="AJ20" s="80"/>
      <c r="AK20" s="112">
        <v>75000</v>
      </c>
      <c r="AL20" s="112">
        <v>75000</v>
      </c>
      <c r="AM20" s="396">
        <f>(AK20-AG20)/AG20</f>
        <v>0</v>
      </c>
      <c r="AN20" s="396"/>
      <c r="AO20" s="163">
        <v>75000</v>
      </c>
      <c r="AP20" s="398">
        <f t="shared" si="9"/>
        <v>0</v>
      </c>
      <c r="AQ20" s="396">
        <f t="shared" si="10"/>
        <v>0</v>
      </c>
      <c r="AR20" s="166"/>
    </row>
    <row r="21" spans="1:44" s="114" customFormat="1" x14ac:dyDescent="0.25">
      <c r="A21" s="219"/>
      <c r="B21" s="219"/>
      <c r="C21" s="219" t="s">
        <v>279</v>
      </c>
      <c r="D21" s="220">
        <f>SUM(D10:D20)</f>
        <v>195000</v>
      </c>
      <c r="E21" s="220">
        <f>SUM(E10:E20)</f>
        <v>195000</v>
      </c>
      <c r="F21" s="221">
        <v>0.44069999999999998</v>
      </c>
      <c r="G21" s="219"/>
      <c r="H21" s="220">
        <f>SUM(H10:H20)</f>
        <v>295000</v>
      </c>
      <c r="I21" s="220">
        <f>SUM(I10:I20)</f>
        <v>295000</v>
      </c>
      <c r="J21" s="221">
        <f>(H21-D21)/D21</f>
        <v>0.51282051282051277</v>
      </c>
      <c r="K21" s="219"/>
      <c r="L21" s="220">
        <f>SUM(L10:L20)</f>
        <v>425000</v>
      </c>
      <c r="M21" s="220">
        <f>SUM(M10:M20)</f>
        <v>425000</v>
      </c>
      <c r="N21" s="221">
        <f>(L21-H21)/H21</f>
        <v>0.44067796610169491</v>
      </c>
      <c r="O21" s="219"/>
      <c r="P21" s="220">
        <f>SUM(P10:P20)</f>
        <v>425000</v>
      </c>
      <c r="Q21" s="220">
        <f>SUM(Q10:Q20)</f>
        <v>395000</v>
      </c>
      <c r="R21" s="221">
        <f>(P21-L21)/L21</f>
        <v>0</v>
      </c>
      <c r="S21" s="219"/>
      <c r="T21" s="220">
        <f>SUM(T10:T20)</f>
        <v>415000</v>
      </c>
      <c r="U21" s="220">
        <f>SUM(U10:U20)</f>
        <v>415000</v>
      </c>
      <c r="V21" s="221">
        <f>(T21-P21)/P21</f>
        <v>-2.3529411764705882E-2</v>
      </c>
      <c r="W21" s="219"/>
      <c r="X21" s="220">
        <f>SUM(X10:X20)</f>
        <v>449999.99</v>
      </c>
      <c r="Y21" s="220">
        <f>SUM(Y10:Y20)</f>
        <v>374899.58999999997</v>
      </c>
      <c r="Z21" s="221">
        <f>(X21-T21)/T21</f>
        <v>8.4337325301204802E-2</v>
      </c>
      <c r="AA21" s="219"/>
      <c r="AB21" s="220">
        <f>SUM(AB10:AB20)</f>
        <v>449999.99</v>
      </c>
      <c r="AC21" s="220">
        <f>SUM(AC10:AC20)</f>
        <v>407220.41000000003</v>
      </c>
      <c r="AD21" s="221">
        <f>(AB21-X21)/X21</f>
        <v>0</v>
      </c>
      <c r="AE21" s="219"/>
      <c r="AF21" s="220">
        <f>SUM(AF10:AF20)</f>
        <v>445000</v>
      </c>
      <c r="AG21" s="220">
        <f>SUM(AG10:AG20)</f>
        <v>445000</v>
      </c>
      <c r="AH21" s="220">
        <f>SUM(AH10:AH20)</f>
        <v>445000</v>
      </c>
      <c r="AI21" s="221">
        <f t="shared" si="7"/>
        <v>-1.1111089135801961E-2</v>
      </c>
      <c r="AJ21" s="221"/>
      <c r="AK21" s="401">
        <f>SUM(AK10:AK20)</f>
        <v>440000</v>
      </c>
      <c r="AL21" s="401">
        <f>SUM(AL10:AL20)</f>
        <v>303668</v>
      </c>
      <c r="AM21" s="221">
        <f>(AK21-AG21)/AG21</f>
        <v>-1.1235955056179775E-2</v>
      </c>
      <c r="AN21" s="221"/>
      <c r="AO21" s="223">
        <f>SUM(AO10:AO20)</f>
        <v>440000</v>
      </c>
      <c r="AP21" s="220">
        <f>SUM(AP10:AP20)</f>
        <v>0</v>
      </c>
      <c r="AQ21" s="221">
        <f>AP21/AK21</f>
        <v>0</v>
      </c>
      <c r="AR21" s="219"/>
    </row>
    <row r="22" spans="1:44" s="211" customFormat="1" x14ac:dyDescent="0.25">
      <c r="D22" s="112"/>
      <c r="E22" s="112"/>
      <c r="F22" s="216"/>
      <c r="G22" s="213"/>
      <c r="H22" s="112"/>
      <c r="I22" s="112"/>
      <c r="J22" s="396"/>
      <c r="K22" s="213"/>
      <c r="L22" s="112"/>
      <c r="M22" s="112"/>
      <c r="N22" s="396"/>
      <c r="O22" s="213"/>
      <c r="P22" s="112"/>
      <c r="Q22" s="112"/>
      <c r="R22" s="396"/>
      <c r="S22" s="213"/>
      <c r="T22" s="112"/>
      <c r="U22" s="112"/>
      <c r="V22" s="396"/>
      <c r="W22" s="213"/>
      <c r="X22" s="112"/>
      <c r="Y22" s="112"/>
      <c r="Z22" s="396"/>
      <c r="AA22" s="213"/>
      <c r="AB22" s="112"/>
      <c r="AC22" s="112"/>
      <c r="AD22" s="396"/>
      <c r="AE22" s="213"/>
      <c r="AF22" s="112"/>
      <c r="AG22" s="112"/>
      <c r="AH22" s="112"/>
      <c r="AI22" s="216"/>
      <c r="AJ22" s="216"/>
      <c r="AK22" s="112"/>
      <c r="AL22" s="112"/>
      <c r="AM22" s="396"/>
      <c r="AN22" s="396"/>
      <c r="AO22" s="212"/>
      <c r="AP22" s="212"/>
      <c r="AQ22" s="396"/>
    </row>
    <row r="23" spans="1:44" s="114" customFormat="1" ht="12.75" x14ac:dyDescent="0.2">
      <c r="A23" s="228"/>
      <c r="B23" s="228"/>
      <c r="C23" s="233" t="s">
        <v>280</v>
      </c>
      <c r="D23" s="230">
        <f>D7+D21</f>
        <v>195000</v>
      </c>
      <c r="E23" s="230">
        <f>E7+E21</f>
        <v>195000</v>
      </c>
      <c r="F23" s="231">
        <v>0.44069999999999998</v>
      </c>
      <c r="G23" s="228"/>
      <c r="H23" s="230">
        <f>H7+H21</f>
        <v>295000</v>
      </c>
      <c r="I23" s="230">
        <f>I7+I21</f>
        <v>295000</v>
      </c>
      <c r="J23" s="231">
        <f>(H23-D23)/D23</f>
        <v>0.51282051282051277</v>
      </c>
      <c r="K23" s="228"/>
      <c r="L23" s="230">
        <f>L7+L21</f>
        <v>425000</v>
      </c>
      <c r="M23" s="230">
        <f>M7+M21</f>
        <v>425000</v>
      </c>
      <c r="N23" s="231">
        <f>(L23-H23)/H23</f>
        <v>0.44067796610169491</v>
      </c>
      <c r="O23" s="228"/>
      <c r="P23" s="230">
        <f>P7+P21</f>
        <v>425000</v>
      </c>
      <c r="Q23" s="230">
        <f>Q7+Q21</f>
        <v>395000</v>
      </c>
      <c r="R23" s="231">
        <f>(P23-L23)/L23</f>
        <v>0</v>
      </c>
      <c r="S23" s="228"/>
      <c r="T23" s="230">
        <f>T7+T21</f>
        <v>415000</v>
      </c>
      <c r="U23" s="230">
        <f>U7+U21</f>
        <v>415000</v>
      </c>
      <c r="V23" s="231">
        <f>(T23-P23)/P23</f>
        <v>-2.3529411764705882E-2</v>
      </c>
      <c r="W23" s="228"/>
      <c r="X23" s="230">
        <f>X7+X21</f>
        <v>449999.99</v>
      </c>
      <c r="Y23" s="230">
        <f>Y7+Y21</f>
        <v>374899.58999999997</v>
      </c>
      <c r="Z23" s="231">
        <f>(X23-T23)/T23</f>
        <v>8.4337325301204802E-2</v>
      </c>
      <c r="AA23" s="228"/>
      <c r="AB23" s="230">
        <f>AB7+AB21</f>
        <v>449999.99</v>
      </c>
      <c r="AC23" s="230">
        <f>AC7+AC21</f>
        <v>407220.41000000003</v>
      </c>
      <c r="AD23" s="231">
        <f>(AB23-X23)/X23</f>
        <v>0</v>
      </c>
      <c r="AE23" s="228"/>
      <c r="AF23" s="230">
        <f>AF7+AF21</f>
        <v>445000</v>
      </c>
      <c r="AG23" s="230">
        <f>AG7+AG21</f>
        <v>445000</v>
      </c>
      <c r="AH23" s="230">
        <f>AH7+AH21</f>
        <v>445000</v>
      </c>
      <c r="AI23" s="231">
        <f t="shared" si="7"/>
        <v>-1.1111089135801961E-2</v>
      </c>
      <c r="AJ23" s="231"/>
      <c r="AK23" s="402">
        <f>AK7+AK21</f>
        <v>440000</v>
      </c>
      <c r="AL23" s="402">
        <f>AL7+AL21</f>
        <v>303668</v>
      </c>
      <c r="AM23" s="231">
        <f>(AK23-AG23)/AG23</f>
        <v>-1.1235955056179775E-2</v>
      </c>
      <c r="AN23" s="231"/>
      <c r="AO23" s="230">
        <f>AO7+AO21</f>
        <v>440000</v>
      </c>
      <c r="AP23" s="230">
        <f>AP7+AP21</f>
        <v>0</v>
      </c>
      <c r="AQ23" s="231">
        <f>(AO23-AK23)/AK23</f>
        <v>0</v>
      </c>
      <c r="AR23" s="233"/>
    </row>
    <row r="24" spans="1:44" x14ac:dyDescent="0.25">
      <c r="D24" s="120"/>
      <c r="H24" s="120"/>
      <c r="L24" s="120"/>
      <c r="P24" s="120"/>
      <c r="T24" s="120"/>
      <c r="X24" s="120"/>
      <c r="AB24" s="120"/>
      <c r="AF24" s="120"/>
      <c r="AG24" s="120"/>
      <c r="AK24" s="403"/>
    </row>
    <row r="25" spans="1:44" s="111" customFormat="1" thickBot="1" x14ac:dyDescent="0.25">
      <c r="C25" s="111" t="s">
        <v>281</v>
      </c>
      <c r="D25" s="122"/>
      <c r="E25" s="121">
        <f>D23-E23</f>
        <v>0</v>
      </c>
      <c r="G25" s="118"/>
      <c r="H25" s="122"/>
      <c r="I25" s="121">
        <f>H23-I23</f>
        <v>0</v>
      </c>
      <c r="K25" s="118"/>
      <c r="L25" s="122"/>
      <c r="M25" s="121">
        <f>L23-M23</f>
        <v>0</v>
      </c>
      <c r="O25" s="118"/>
      <c r="P25" s="122"/>
      <c r="Q25" s="121">
        <f>P23-Q23</f>
        <v>30000</v>
      </c>
      <c r="S25" s="118"/>
      <c r="T25" s="122"/>
      <c r="U25" s="121">
        <f>T23-U23</f>
        <v>0</v>
      </c>
      <c r="W25" s="118"/>
      <c r="X25" s="122"/>
      <c r="Y25" s="121">
        <f>X23-Y23</f>
        <v>75100.400000000023</v>
      </c>
      <c r="AA25" s="118"/>
      <c r="AB25" s="122"/>
      <c r="AC25" s="121">
        <f>AB23-AC23</f>
        <v>42779.579999999958</v>
      </c>
      <c r="AE25" s="118"/>
      <c r="AF25" s="122"/>
      <c r="AG25" s="122"/>
      <c r="AH25" s="121">
        <f>AG23-AH23</f>
        <v>0</v>
      </c>
      <c r="AK25" s="122"/>
      <c r="AL25" s="121">
        <f>AK23-AL23</f>
        <v>136332</v>
      </c>
      <c r="AO25" s="123"/>
      <c r="AP25" s="123"/>
    </row>
    <row r="26" spans="1:44" ht="14.25" thickTop="1" x14ac:dyDescent="0.25">
      <c r="D26" s="120"/>
      <c r="F26" s="4"/>
      <c r="H26" s="120"/>
      <c r="J26" s="4"/>
      <c r="L26" s="120"/>
      <c r="N26" s="4"/>
      <c r="P26" s="120"/>
      <c r="R26" s="4"/>
      <c r="T26" s="120"/>
      <c r="V26" s="4"/>
      <c r="X26" s="120"/>
      <c r="AB26" s="120"/>
      <c r="AF26" s="120"/>
      <c r="AG26" s="120"/>
      <c r="AK26" s="403"/>
    </row>
    <row r="27" spans="1:44" x14ac:dyDescent="0.25">
      <c r="D27" s="120"/>
      <c r="F27" s="4"/>
      <c r="H27" s="120"/>
      <c r="J27" s="4"/>
      <c r="L27" s="120"/>
      <c r="N27" s="4"/>
      <c r="P27" s="120"/>
      <c r="R27" s="4"/>
      <c r="T27" s="120"/>
      <c r="V27" s="4"/>
      <c r="X27" s="120"/>
      <c r="AB27" s="120"/>
      <c r="AF27" s="120"/>
      <c r="AG27" s="120"/>
      <c r="AK27" s="403"/>
    </row>
    <row r="28" spans="1:44" x14ac:dyDescent="0.25">
      <c r="D28" s="120"/>
      <c r="F28" s="4"/>
      <c r="H28" s="120"/>
      <c r="J28" s="4"/>
      <c r="L28" s="120"/>
      <c r="N28" s="4"/>
      <c r="P28" s="120"/>
      <c r="R28" s="4"/>
      <c r="T28" s="120"/>
      <c r="V28" s="4"/>
      <c r="X28" s="120"/>
      <c r="AB28" s="120"/>
      <c r="AF28" s="120"/>
      <c r="AG28" s="120"/>
      <c r="AK28" s="403"/>
    </row>
    <row r="29" spans="1:44" x14ac:dyDescent="0.25">
      <c r="D29" s="120"/>
      <c r="F29" s="4"/>
      <c r="H29" s="120"/>
      <c r="J29" s="4"/>
      <c r="L29" s="120"/>
      <c r="N29" s="4"/>
      <c r="P29" s="120"/>
      <c r="R29" s="4"/>
      <c r="T29" s="120"/>
      <c r="V29" s="4"/>
      <c r="X29" s="120"/>
      <c r="AB29" s="120"/>
      <c r="AF29" s="120"/>
      <c r="AG29" s="120"/>
      <c r="AK29" s="403"/>
    </row>
    <row r="30" spans="1:44" x14ac:dyDescent="0.25">
      <c r="D30" s="120"/>
      <c r="F30" s="4"/>
      <c r="H30" s="120"/>
      <c r="J30" s="4"/>
      <c r="L30" s="120"/>
      <c r="N30" s="4"/>
      <c r="P30" s="120"/>
      <c r="R30" s="4"/>
      <c r="T30" s="120"/>
      <c r="V30" s="4"/>
      <c r="X30" s="120"/>
      <c r="AB30" s="120"/>
      <c r="AF30" s="120"/>
      <c r="AG30" s="120"/>
      <c r="AK30" s="403"/>
    </row>
    <row r="31" spans="1:44" x14ac:dyDescent="0.25">
      <c r="D31" s="120"/>
      <c r="F31" s="4"/>
      <c r="H31" s="120"/>
      <c r="J31" s="4"/>
      <c r="L31" s="120"/>
      <c r="N31" s="4"/>
      <c r="P31" s="120"/>
      <c r="R31" s="4"/>
      <c r="T31" s="120"/>
      <c r="V31" s="4"/>
      <c r="X31" s="120"/>
      <c r="AB31" s="120"/>
      <c r="AF31" s="120"/>
      <c r="AG31" s="120"/>
      <c r="AK31" s="403"/>
    </row>
    <row r="32" spans="1:44" x14ac:dyDescent="0.25">
      <c r="D32" s="120"/>
      <c r="F32" s="4"/>
      <c r="H32" s="120"/>
      <c r="J32" s="4"/>
      <c r="L32" s="120"/>
      <c r="N32" s="4"/>
      <c r="P32" s="120"/>
      <c r="R32" s="4"/>
      <c r="T32" s="120"/>
      <c r="V32" s="4"/>
      <c r="X32" s="120"/>
      <c r="AB32" s="120"/>
      <c r="AF32" s="120"/>
      <c r="AG32" s="120"/>
      <c r="AK32" s="403"/>
    </row>
    <row r="33" spans="4:37" x14ac:dyDescent="0.25">
      <c r="D33" s="120"/>
      <c r="F33" s="4"/>
      <c r="H33" s="120"/>
      <c r="J33" s="4"/>
      <c r="L33" s="120"/>
      <c r="N33" s="4"/>
      <c r="P33" s="120"/>
      <c r="R33" s="4"/>
      <c r="T33" s="120"/>
      <c r="V33" s="4"/>
      <c r="X33" s="120"/>
      <c r="AB33" s="120"/>
      <c r="AF33" s="120"/>
      <c r="AG33" s="120"/>
      <c r="AK33" s="403"/>
    </row>
    <row r="34" spans="4:37" x14ac:dyDescent="0.25">
      <c r="D34" s="120"/>
      <c r="F34" s="4"/>
      <c r="H34" s="120"/>
      <c r="J34" s="4"/>
      <c r="L34" s="120"/>
      <c r="N34" s="4"/>
      <c r="P34" s="120"/>
      <c r="R34" s="4"/>
      <c r="T34" s="120"/>
      <c r="V34" s="4"/>
      <c r="X34" s="120"/>
      <c r="AB34" s="120"/>
      <c r="AF34" s="120"/>
      <c r="AG34" s="120"/>
      <c r="AK34" s="403"/>
    </row>
    <row r="35" spans="4:37" x14ac:dyDescent="0.25">
      <c r="D35" s="120"/>
      <c r="F35" s="4"/>
      <c r="H35" s="120"/>
      <c r="J35" s="4"/>
      <c r="L35" s="120"/>
      <c r="N35" s="4"/>
      <c r="P35" s="120"/>
      <c r="R35" s="4"/>
      <c r="T35" s="120"/>
      <c r="V35" s="4"/>
      <c r="X35" s="120"/>
      <c r="AB35" s="120"/>
      <c r="AF35" s="120"/>
      <c r="AG35" s="120"/>
      <c r="AK35" s="403"/>
    </row>
    <row r="36" spans="4:37" x14ac:dyDescent="0.25">
      <c r="D36" s="120"/>
      <c r="F36" s="4"/>
      <c r="H36" s="120"/>
      <c r="J36" s="4"/>
      <c r="L36" s="120"/>
      <c r="N36" s="4"/>
      <c r="P36" s="120"/>
      <c r="R36" s="4"/>
      <c r="T36" s="120"/>
      <c r="V36" s="4"/>
      <c r="X36" s="120"/>
      <c r="AB36" s="120"/>
      <c r="AF36" s="120"/>
      <c r="AG36" s="120"/>
      <c r="AK36" s="403"/>
    </row>
    <row r="37" spans="4:37" x14ac:dyDescent="0.25">
      <c r="D37" s="120"/>
      <c r="F37" s="4"/>
      <c r="H37" s="120"/>
      <c r="J37" s="4"/>
      <c r="L37" s="120"/>
      <c r="N37" s="4"/>
      <c r="P37" s="120"/>
      <c r="R37" s="4"/>
      <c r="T37" s="120"/>
      <c r="V37" s="4"/>
      <c r="X37" s="120"/>
      <c r="AB37" s="120"/>
      <c r="AF37" s="120"/>
      <c r="AG37" s="120"/>
      <c r="AK37" s="403"/>
    </row>
    <row r="38" spans="4:37" x14ac:dyDescent="0.25">
      <c r="D38" s="120"/>
      <c r="F38" s="4"/>
      <c r="H38" s="120"/>
      <c r="J38" s="4"/>
      <c r="L38" s="120"/>
      <c r="N38" s="4"/>
      <c r="P38" s="120"/>
      <c r="R38" s="4"/>
      <c r="T38" s="120"/>
      <c r="V38" s="4"/>
      <c r="X38" s="120"/>
      <c r="AB38" s="120"/>
      <c r="AF38" s="120"/>
      <c r="AG38" s="120"/>
      <c r="AK38" s="403"/>
    </row>
    <row r="39" spans="4:37" x14ac:dyDescent="0.25">
      <c r="D39" s="120"/>
      <c r="F39" s="4"/>
      <c r="H39" s="120"/>
      <c r="J39" s="4"/>
      <c r="L39" s="120"/>
      <c r="N39" s="4"/>
      <c r="P39" s="120"/>
      <c r="R39" s="4"/>
      <c r="T39" s="120"/>
      <c r="V39" s="4"/>
      <c r="X39" s="120"/>
      <c r="AB39" s="120"/>
      <c r="AF39" s="120"/>
      <c r="AG39" s="120"/>
      <c r="AK39" s="403"/>
    </row>
    <row r="40" spans="4:37" x14ac:dyDescent="0.25">
      <c r="D40" s="120"/>
      <c r="F40" s="4"/>
      <c r="H40" s="120"/>
      <c r="J40" s="4"/>
      <c r="L40" s="120"/>
      <c r="N40" s="4"/>
      <c r="P40" s="120"/>
      <c r="R40" s="4"/>
      <c r="T40" s="120"/>
      <c r="V40" s="4"/>
      <c r="X40" s="120"/>
      <c r="AB40" s="120"/>
      <c r="AF40" s="120"/>
      <c r="AG40" s="120"/>
      <c r="AK40" s="403"/>
    </row>
    <row r="41" spans="4:37" x14ac:dyDescent="0.25">
      <c r="D41" s="120"/>
      <c r="F41" s="213"/>
      <c r="H41" s="120"/>
      <c r="J41" s="213"/>
      <c r="L41" s="120"/>
      <c r="N41" s="213"/>
      <c r="P41" s="120"/>
      <c r="R41" s="213"/>
      <c r="T41" s="120"/>
      <c r="V41" s="103"/>
      <c r="X41" s="120"/>
      <c r="AB41" s="120"/>
      <c r="AF41" s="120"/>
      <c r="AG41" s="120"/>
      <c r="AK41" s="403"/>
    </row>
    <row r="42" spans="4:37" x14ac:dyDescent="0.25">
      <c r="D42" s="120"/>
      <c r="F42" s="213"/>
      <c r="H42" s="120"/>
      <c r="J42" s="213"/>
      <c r="L42" s="120"/>
      <c r="N42" s="213"/>
      <c r="P42" s="120"/>
      <c r="R42" s="213"/>
      <c r="T42" s="120"/>
      <c r="V42" s="103"/>
      <c r="X42" s="120"/>
      <c r="AB42" s="120"/>
      <c r="AF42" s="120"/>
      <c r="AG42" s="120"/>
      <c r="AK42" s="403"/>
    </row>
    <row r="43" spans="4:37" x14ac:dyDescent="0.25">
      <c r="D43" s="120"/>
      <c r="F43" s="213"/>
      <c r="H43" s="120"/>
      <c r="J43" s="213"/>
      <c r="L43" s="120"/>
      <c r="N43" s="213"/>
      <c r="P43" s="120"/>
      <c r="R43" s="213"/>
      <c r="T43" s="120"/>
      <c r="V43" s="103"/>
      <c r="X43" s="120"/>
      <c r="AB43" s="120"/>
      <c r="AF43" s="120"/>
      <c r="AG43" s="120"/>
      <c r="AK43" s="403"/>
    </row>
    <row r="44" spans="4:37" x14ac:dyDescent="0.25">
      <c r="D44" s="120"/>
      <c r="F44" s="213"/>
      <c r="H44" s="120"/>
      <c r="J44" s="213"/>
      <c r="L44" s="120"/>
      <c r="N44" s="213"/>
      <c r="P44" s="120"/>
      <c r="R44" s="213"/>
      <c r="T44" s="120"/>
      <c r="V44" s="103"/>
      <c r="X44" s="120"/>
      <c r="AB44" s="120"/>
      <c r="AF44" s="120"/>
      <c r="AG44" s="120"/>
      <c r="AK44" s="403"/>
    </row>
    <row r="45" spans="4:37" x14ac:dyDescent="0.25">
      <c r="D45" s="120"/>
      <c r="F45" s="213"/>
      <c r="H45" s="120"/>
      <c r="J45" s="213"/>
      <c r="L45" s="120"/>
      <c r="N45" s="213"/>
      <c r="P45" s="120"/>
      <c r="R45" s="213"/>
      <c r="T45" s="120"/>
      <c r="V45" s="103"/>
      <c r="X45" s="120"/>
      <c r="AB45" s="120"/>
      <c r="AF45" s="120"/>
      <c r="AG45" s="120"/>
      <c r="AK45" s="403"/>
    </row>
    <row r="46" spans="4:37" x14ac:dyDescent="0.25">
      <c r="D46" s="120"/>
      <c r="F46" s="213"/>
      <c r="H46" s="120"/>
      <c r="J46" s="213"/>
      <c r="L46" s="120"/>
      <c r="N46" s="213"/>
      <c r="P46" s="120"/>
      <c r="R46" s="213"/>
      <c r="T46" s="120"/>
      <c r="V46" s="103"/>
      <c r="X46" s="120"/>
      <c r="AB46" s="120"/>
      <c r="AF46" s="120"/>
      <c r="AG46" s="120"/>
      <c r="AK46" s="403"/>
    </row>
    <row r="47" spans="4:37" x14ac:dyDescent="0.25">
      <c r="D47" s="120"/>
      <c r="F47" s="213"/>
      <c r="H47" s="120"/>
      <c r="J47" s="213"/>
      <c r="L47" s="120"/>
      <c r="N47" s="213"/>
      <c r="P47" s="120"/>
      <c r="R47" s="213"/>
      <c r="T47" s="120"/>
      <c r="V47" s="103"/>
      <c r="X47" s="120"/>
      <c r="AB47" s="120"/>
      <c r="AF47" s="120"/>
      <c r="AG47" s="120"/>
      <c r="AK47" s="403"/>
    </row>
    <row r="48" spans="4:37" x14ac:dyDescent="0.25">
      <c r="D48" s="120"/>
      <c r="F48" s="213"/>
      <c r="H48" s="120"/>
      <c r="J48" s="213"/>
      <c r="L48" s="120"/>
      <c r="N48" s="213"/>
      <c r="P48" s="120"/>
      <c r="R48" s="213"/>
      <c r="T48" s="120"/>
      <c r="V48" s="103"/>
      <c r="X48" s="120"/>
      <c r="AB48" s="120"/>
      <c r="AF48" s="120"/>
      <c r="AG48" s="120"/>
      <c r="AK48" s="403"/>
    </row>
    <row r="49" spans="4:37" x14ac:dyDescent="0.25">
      <c r="D49" s="120"/>
      <c r="F49" s="213"/>
      <c r="H49" s="120"/>
      <c r="J49" s="213"/>
      <c r="L49" s="120"/>
      <c r="N49" s="213"/>
      <c r="P49" s="120"/>
      <c r="R49" s="213"/>
      <c r="T49" s="120"/>
      <c r="V49" s="103"/>
      <c r="X49" s="120"/>
      <c r="AB49" s="120"/>
      <c r="AF49" s="120"/>
      <c r="AG49" s="120"/>
      <c r="AK49" s="403"/>
    </row>
    <row r="50" spans="4:37" x14ac:dyDescent="0.25">
      <c r="D50" s="120"/>
      <c r="F50" s="213"/>
      <c r="H50" s="120"/>
      <c r="J50" s="213"/>
      <c r="L50" s="120"/>
      <c r="N50" s="213"/>
      <c r="P50" s="120"/>
      <c r="R50" s="213"/>
      <c r="T50" s="120"/>
      <c r="V50" s="103"/>
      <c r="X50" s="120"/>
      <c r="AB50" s="120"/>
      <c r="AF50" s="120"/>
      <c r="AG50" s="120"/>
      <c r="AK50" s="403"/>
    </row>
    <row r="51" spans="4:37" x14ac:dyDescent="0.25">
      <c r="D51" s="120"/>
      <c r="F51" s="213"/>
      <c r="H51" s="120"/>
      <c r="J51" s="213"/>
      <c r="L51" s="120"/>
      <c r="N51" s="213"/>
      <c r="P51" s="120"/>
      <c r="R51" s="213"/>
      <c r="T51" s="120"/>
      <c r="V51" s="103"/>
      <c r="X51" s="120"/>
      <c r="AB51" s="120"/>
      <c r="AF51" s="120"/>
      <c r="AG51" s="120"/>
      <c r="AK51" s="403"/>
    </row>
    <row r="52" spans="4:37" x14ac:dyDescent="0.25">
      <c r="D52" s="120"/>
      <c r="F52" s="213"/>
      <c r="H52" s="120"/>
      <c r="J52" s="213"/>
      <c r="L52" s="120"/>
      <c r="N52" s="213"/>
      <c r="P52" s="120"/>
      <c r="R52" s="213"/>
      <c r="T52" s="120"/>
      <c r="V52" s="103"/>
      <c r="X52" s="120"/>
      <c r="AB52" s="120"/>
      <c r="AF52" s="120"/>
      <c r="AG52" s="120"/>
      <c r="AK52" s="403"/>
    </row>
    <row r="53" spans="4:37" x14ac:dyDescent="0.25">
      <c r="D53" s="120"/>
      <c r="F53" s="213"/>
      <c r="H53" s="120"/>
      <c r="J53" s="213"/>
      <c r="L53" s="120"/>
      <c r="N53" s="213"/>
      <c r="P53" s="120"/>
      <c r="R53" s="213"/>
      <c r="T53" s="120"/>
      <c r="V53" s="103"/>
      <c r="X53" s="120"/>
      <c r="AB53" s="120"/>
      <c r="AF53" s="120"/>
      <c r="AG53" s="120"/>
      <c r="AK53" s="403"/>
    </row>
    <row r="54" spans="4:37" x14ac:dyDescent="0.25">
      <c r="D54" s="120"/>
      <c r="F54" s="213"/>
      <c r="H54" s="120"/>
      <c r="J54" s="213"/>
      <c r="L54" s="120"/>
      <c r="N54" s="213"/>
      <c r="P54" s="120"/>
      <c r="R54" s="213"/>
      <c r="T54" s="120"/>
      <c r="V54" s="103"/>
      <c r="X54" s="120"/>
      <c r="AB54" s="120"/>
      <c r="AF54" s="120"/>
      <c r="AG54" s="120"/>
      <c r="AK54" s="403"/>
    </row>
    <row r="55" spans="4:37" x14ac:dyDescent="0.25">
      <c r="D55" s="120"/>
      <c r="F55" s="213"/>
      <c r="H55" s="120"/>
      <c r="J55" s="213"/>
      <c r="L55" s="120"/>
      <c r="N55" s="213"/>
      <c r="P55" s="120"/>
      <c r="R55" s="213"/>
      <c r="T55" s="120"/>
      <c r="V55" s="103"/>
      <c r="X55" s="120"/>
      <c r="AB55" s="120"/>
      <c r="AF55" s="120"/>
      <c r="AG55" s="120"/>
      <c r="AK55" s="403"/>
    </row>
    <row r="56" spans="4:37" x14ac:dyDescent="0.25">
      <c r="D56" s="120"/>
      <c r="F56" s="213"/>
      <c r="H56" s="120"/>
      <c r="J56" s="213"/>
      <c r="L56" s="120"/>
      <c r="N56" s="213"/>
      <c r="P56" s="120"/>
      <c r="R56" s="213"/>
      <c r="T56" s="120"/>
      <c r="V56" s="103"/>
      <c r="X56" s="120"/>
      <c r="AB56" s="120"/>
      <c r="AF56" s="120"/>
      <c r="AG56" s="120"/>
      <c r="AK56" s="403"/>
    </row>
    <row r="57" spans="4:37" x14ac:dyDescent="0.25">
      <c r="D57" s="120"/>
      <c r="F57" s="213"/>
      <c r="H57" s="120"/>
      <c r="J57" s="213"/>
      <c r="L57" s="120"/>
      <c r="N57" s="213"/>
      <c r="P57" s="120"/>
      <c r="R57" s="213"/>
      <c r="T57" s="120"/>
      <c r="V57" s="103"/>
      <c r="X57" s="120"/>
      <c r="AB57" s="120"/>
      <c r="AF57" s="120"/>
      <c r="AG57" s="120"/>
      <c r="AK57" s="403"/>
    </row>
    <row r="58" spans="4:37" x14ac:dyDescent="0.25">
      <c r="D58" s="120"/>
      <c r="F58" s="213"/>
      <c r="H58" s="120"/>
      <c r="J58" s="213"/>
      <c r="L58" s="120"/>
      <c r="N58" s="213"/>
      <c r="P58" s="120"/>
      <c r="R58" s="213"/>
      <c r="T58" s="120"/>
      <c r="V58" s="103"/>
      <c r="X58" s="120"/>
      <c r="AB58" s="120"/>
      <c r="AF58" s="120"/>
      <c r="AG58" s="120"/>
      <c r="AK58" s="403"/>
    </row>
    <row r="59" spans="4:37" x14ac:dyDescent="0.25">
      <c r="D59" s="120"/>
      <c r="F59" s="213"/>
      <c r="H59" s="120"/>
      <c r="J59" s="213"/>
      <c r="L59" s="120"/>
      <c r="N59" s="213"/>
      <c r="P59" s="120"/>
      <c r="R59" s="213"/>
      <c r="T59" s="120"/>
      <c r="V59" s="103"/>
      <c r="X59" s="120"/>
      <c r="AB59" s="120"/>
      <c r="AF59" s="120"/>
      <c r="AG59" s="120"/>
      <c r="AK59" s="403"/>
    </row>
    <row r="60" spans="4:37" x14ac:dyDescent="0.25">
      <c r="D60" s="120"/>
      <c r="F60" s="213"/>
      <c r="H60" s="120"/>
      <c r="J60" s="213"/>
      <c r="L60" s="120"/>
      <c r="N60" s="213"/>
      <c r="P60" s="120"/>
      <c r="R60" s="213"/>
      <c r="T60" s="120"/>
      <c r="V60" s="103"/>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sheetData>
  <mergeCells count="11">
    <mergeCell ref="AO3:AR3"/>
    <mergeCell ref="AF3:AI3"/>
    <mergeCell ref="P3:R3"/>
    <mergeCell ref="H3:J3"/>
    <mergeCell ref="L3:N3"/>
    <mergeCell ref="AK3:AM3"/>
    <mergeCell ref="A4:C4"/>
    <mergeCell ref="D3:F3"/>
    <mergeCell ref="T3:V3"/>
    <mergeCell ref="X3:Z3"/>
    <mergeCell ref="AB3:AD3"/>
  </mergeCells>
  <pageMargins left="0.75" right="0.75" top="1" bottom="1" header="0.5" footer="0.5"/>
  <pageSetup paperSize="5" scale="76" orientation="landscape" r:id="rId1"/>
  <headerFooter alignWithMargins="0">
    <oddHeader>&amp;C&amp;"-,Bold"Proposed Budget &amp; Analysis Report for FY20</oddHeader>
    <oddFooter>&amp;C&amp;D&amp;T&amp;R&amp;A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125"/>
  <sheetViews>
    <sheetView zoomScaleNormal="100" workbookViewId="0">
      <selection sqref="A1:I1"/>
    </sheetView>
  </sheetViews>
  <sheetFormatPr defaultRowHeight="13.5" x14ac:dyDescent="0.25"/>
  <cols>
    <col min="1" max="9" width="16.42578125" style="1" customWidth="1"/>
    <col min="10" max="10" width="4.140625" style="1" customWidth="1"/>
    <col min="11" max="11" width="5" style="1" bestFit="1" customWidth="1"/>
    <col min="12" max="18" width="5" style="6" bestFit="1" customWidth="1"/>
    <col min="19" max="19" width="9.140625" style="1"/>
    <col min="20" max="27" width="4.42578125" style="1" bestFit="1" customWidth="1"/>
    <col min="28" max="16384" width="9.140625" style="1"/>
  </cols>
  <sheetData>
    <row r="1" spans="1:40" ht="30" customHeight="1" x14ac:dyDescent="0.25">
      <c r="A1" s="792" t="s">
        <v>106</v>
      </c>
      <c r="B1" s="792"/>
      <c r="C1" s="792"/>
      <c r="D1" s="792"/>
      <c r="E1" s="792"/>
      <c r="F1" s="792"/>
      <c r="G1" s="792"/>
      <c r="H1" s="792"/>
      <c r="I1" s="792"/>
    </row>
    <row r="2" spans="1:40" ht="18" x14ac:dyDescent="0.25">
      <c r="A2" s="793" t="s">
        <v>1698</v>
      </c>
      <c r="B2" s="793"/>
      <c r="C2" s="793"/>
      <c r="D2" s="793"/>
      <c r="E2" s="793"/>
      <c r="F2" s="793"/>
      <c r="G2" s="793"/>
      <c r="H2" s="793"/>
      <c r="I2" s="793"/>
    </row>
    <row r="3" spans="1:40" ht="18" x14ac:dyDescent="0.25">
      <c r="A3" s="794"/>
      <c r="B3" s="795"/>
      <c r="C3" s="795"/>
      <c r="D3" s="795"/>
      <c r="E3" s="795"/>
      <c r="F3" s="795"/>
      <c r="G3" s="795"/>
      <c r="H3" s="795"/>
      <c r="I3" s="796"/>
      <c r="J3" s="3"/>
    </row>
    <row r="4" spans="1:40" ht="18" x14ac:dyDescent="0.25">
      <c r="A4" s="573" t="s">
        <v>88</v>
      </c>
      <c r="B4" s="573" t="s">
        <v>89</v>
      </c>
      <c r="C4" s="573" t="s">
        <v>90</v>
      </c>
      <c r="D4" s="573" t="s">
        <v>91</v>
      </c>
      <c r="E4" s="573" t="s">
        <v>92</v>
      </c>
      <c r="F4" s="573" t="s">
        <v>93</v>
      </c>
      <c r="G4" s="573" t="s">
        <v>94</v>
      </c>
      <c r="H4" s="573" t="s">
        <v>95</v>
      </c>
      <c r="I4" s="573" t="s">
        <v>96</v>
      </c>
      <c r="J4" s="8"/>
    </row>
    <row r="5" spans="1:40" s="12" customFormat="1" ht="38.25" customHeight="1" x14ac:dyDescent="0.25">
      <c r="A5" s="574">
        <v>1</v>
      </c>
      <c r="B5" s="576">
        <f>B34*B20</f>
        <v>12.205418959999999</v>
      </c>
      <c r="C5" s="576">
        <f t="shared" ref="C5:I15" si="0">C34*C20</f>
        <v>12.63240034</v>
      </c>
      <c r="D5" s="576">
        <f t="shared" si="0"/>
        <v>13.069795899999999</v>
      </c>
      <c r="E5" s="576">
        <f t="shared" si="0"/>
        <v>13.528019819999999</v>
      </c>
      <c r="F5" s="576">
        <f t="shared" si="0"/>
        <v>14.007072099999998</v>
      </c>
      <c r="G5" s="576">
        <f t="shared" si="0"/>
        <v>14.496538559999999</v>
      </c>
      <c r="H5" s="576">
        <f t="shared" si="0"/>
        <v>15.006833379999998</v>
      </c>
      <c r="I5" s="576">
        <f t="shared" si="0"/>
        <v>15.52754238</v>
      </c>
      <c r="J5" s="11"/>
      <c r="L5" s="13">
        <f>(C5-B5)/B5</f>
        <v>3.4982935153583687E-2</v>
      </c>
      <c r="M5" s="13">
        <f t="shared" ref="M5:R16" si="1">(D5-C5)/C5</f>
        <v>3.462489694971136E-2</v>
      </c>
      <c r="N5" s="13">
        <f t="shared" si="1"/>
        <v>3.5059760956175301E-2</v>
      </c>
      <c r="O5" s="13">
        <f t="shared" si="1"/>
        <v>3.5411855273287107E-2</v>
      </c>
      <c r="P5" s="13">
        <f>(G5-F5)/F5</f>
        <v>3.4944237918215687E-2</v>
      </c>
      <c r="Q5" s="13">
        <f>(H5-G5)/G5</f>
        <v>3.5201149425287258E-2</v>
      </c>
      <c r="R5" s="13">
        <f t="shared" si="1"/>
        <v>3.4698126301179869E-2</v>
      </c>
      <c r="T5" s="16"/>
      <c r="U5" s="16"/>
      <c r="V5" s="16"/>
      <c r="W5" s="16"/>
      <c r="X5" s="16"/>
      <c r="Y5" s="16"/>
      <c r="Z5" s="16"/>
      <c r="AA5" s="16"/>
    </row>
    <row r="6" spans="1:40" s="12" customFormat="1" ht="35.25" customHeight="1" x14ac:dyDescent="0.25">
      <c r="A6" s="575">
        <v>2</v>
      </c>
      <c r="B6" s="577">
        <f t="shared" ref="B6:B16" si="2">B35*B21</f>
        <v>13.913344479999997</v>
      </c>
      <c r="C6" s="577">
        <f t="shared" ref="C6:I16" si="3">C35*C21</f>
        <v>14.402810939999998</v>
      </c>
      <c r="D6" s="577">
        <f t="shared" si="3"/>
        <v>14.902691579999999</v>
      </c>
      <c r="E6" s="577">
        <f t="shared" si="3"/>
        <v>15.423400579999999</v>
      </c>
      <c r="F6" s="577">
        <f t="shared" si="3"/>
        <v>15.964937939999999</v>
      </c>
      <c r="G6" s="577">
        <f t="shared" si="3"/>
        <v>16.527303659999998</v>
      </c>
      <c r="H6" s="577">
        <f t="shared" si="3"/>
        <v>17.100083560000002</v>
      </c>
      <c r="I6" s="577">
        <f t="shared" si="3"/>
        <v>17.704105999999996</v>
      </c>
      <c r="J6" s="11"/>
      <c r="L6" s="13">
        <f t="shared" ref="L6:L16" si="4">(C6-B6)/B6</f>
        <v>3.517964071856295E-2</v>
      </c>
      <c r="M6" s="13">
        <f t="shared" si="1"/>
        <v>3.4707158351410028E-2</v>
      </c>
      <c r="N6" s="13">
        <f t="shared" si="1"/>
        <v>3.4940600978336837E-2</v>
      </c>
      <c r="O6" s="13">
        <f t="shared" si="1"/>
        <v>3.5111411208642779E-2</v>
      </c>
      <c r="P6" s="13">
        <f t="shared" si="1"/>
        <v>3.5225048923678996E-2</v>
      </c>
      <c r="Q6" s="13">
        <f t="shared" si="1"/>
        <v>3.4656584751102955E-2</v>
      </c>
      <c r="R6" s="13">
        <f t="shared" si="1"/>
        <v>3.5322777101095888E-2</v>
      </c>
      <c r="T6" s="375">
        <f>(B6-B5)/B5</f>
        <v>0.13993174061433433</v>
      </c>
      <c r="U6" s="375">
        <f t="shared" ref="U6:AA6" si="5">(C6-C5)/C5</f>
        <v>0.14014839241549862</v>
      </c>
      <c r="V6" s="375">
        <f t="shared" si="5"/>
        <v>0.1402390438247012</v>
      </c>
      <c r="W6" s="375">
        <f t="shared" si="5"/>
        <v>0.14010777521170131</v>
      </c>
      <c r="X6" s="375">
        <f t="shared" si="5"/>
        <v>0.13977695167286247</v>
      </c>
      <c r="Y6" s="375">
        <f t="shared" si="5"/>
        <v>0.1400862068965516</v>
      </c>
      <c r="Z6" s="375">
        <f t="shared" si="5"/>
        <v>0.1394864677307428</v>
      </c>
      <c r="AA6" s="375">
        <f t="shared" si="5"/>
        <v>0.14017437961099907</v>
      </c>
    </row>
    <row r="7" spans="1:40" s="12" customFormat="1" ht="38.25" customHeight="1" x14ac:dyDescent="0.25">
      <c r="A7" s="574">
        <v>3</v>
      </c>
      <c r="B7" s="576">
        <f t="shared" si="2"/>
        <v>15.86079614</v>
      </c>
      <c r="C7" s="576">
        <f t="shared" si="0"/>
        <v>16.412747679999999</v>
      </c>
      <c r="D7" s="576">
        <f t="shared" si="0"/>
        <v>16.995941760000001</v>
      </c>
      <c r="E7" s="576">
        <f t="shared" si="0"/>
        <v>17.589550019999997</v>
      </c>
      <c r="F7" s="576">
        <f t="shared" si="0"/>
        <v>18.20398664</v>
      </c>
      <c r="G7" s="576">
        <f t="shared" si="0"/>
        <v>18.839251619999999</v>
      </c>
      <c r="H7" s="576">
        <f t="shared" si="0"/>
        <v>19.495344959999997</v>
      </c>
      <c r="I7" s="576">
        <f t="shared" si="0"/>
        <v>20.182680839999996</v>
      </c>
      <c r="J7" s="11"/>
      <c r="L7" s="13">
        <f t="shared" si="4"/>
        <v>3.4799737360472704E-2</v>
      </c>
      <c r="M7" s="13">
        <f t="shared" si="1"/>
        <v>3.5532994923857988E-2</v>
      </c>
      <c r="N7" s="13">
        <f t="shared" si="1"/>
        <v>3.492647058823508E-2</v>
      </c>
      <c r="O7" s="13">
        <f t="shared" si="1"/>
        <v>3.493191237418608E-2</v>
      </c>
      <c r="P7" s="13">
        <f t="shared" si="1"/>
        <v>3.4897025171624643E-2</v>
      </c>
      <c r="Q7" s="13">
        <f t="shared" si="1"/>
        <v>3.4825870646766073E-2</v>
      </c>
      <c r="R7" s="13">
        <f t="shared" si="1"/>
        <v>3.5256410256410214E-2</v>
      </c>
      <c r="T7" s="16">
        <f t="shared" ref="T7:T16" si="6">(B7-B6)/B6</f>
        <v>0.13997005988023969</v>
      </c>
      <c r="U7" s="16">
        <f t="shared" ref="U7:U16" si="7">(C7-C6)/C6</f>
        <v>0.13955169920462768</v>
      </c>
      <c r="V7" s="16">
        <f t="shared" ref="V7:V16" si="8">(D7-D6)/D6</f>
        <v>0.14046121593291419</v>
      </c>
      <c r="W7" s="16">
        <f t="shared" ref="W7:W16" si="9">(E7-E6)/E6</f>
        <v>0.14044564483457112</v>
      </c>
      <c r="X7" s="16">
        <f t="shared" ref="X7:X16" si="10">(F7-F6)/F6</f>
        <v>0.14024787997390747</v>
      </c>
      <c r="Y7" s="16">
        <f t="shared" ref="Y7:Y16" si="11">(G7-G6)/G6</f>
        <v>0.13988657844990557</v>
      </c>
      <c r="Z7" s="16">
        <f t="shared" ref="Z7:Z16" si="12">(H7-H6)/H6</f>
        <v>0.14007308160779508</v>
      </c>
      <c r="AA7" s="16">
        <f t="shared" ref="AA7:AA16" si="13">(I7-I6)/I6</f>
        <v>0.14000000000000004</v>
      </c>
    </row>
    <row r="8" spans="1:40" s="12" customFormat="1" ht="35.25" customHeight="1" x14ac:dyDescent="0.25">
      <c r="A8" s="575">
        <v>4</v>
      </c>
      <c r="B8" s="577">
        <f t="shared" si="2"/>
        <v>18.079016479999996</v>
      </c>
      <c r="C8" s="577">
        <f t="shared" si="3"/>
        <v>18.714281459999999</v>
      </c>
      <c r="D8" s="577">
        <f t="shared" si="3"/>
        <v>19.3703748</v>
      </c>
      <c r="E8" s="577">
        <f t="shared" si="3"/>
        <v>20.047296499999998</v>
      </c>
      <c r="F8" s="577">
        <f t="shared" si="3"/>
        <v>20.75546074</v>
      </c>
      <c r="G8" s="577">
        <f t="shared" si="3"/>
        <v>21.47403916</v>
      </c>
      <c r="H8" s="577">
        <f t="shared" si="3"/>
        <v>22.223860119999998</v>
      </c>
      <c r="I8" s="577">
        <f t="shared" si="3"/>
        <v>23.00492362</v>
      </c>
      <c r="J8" s="11"/>
      <c r="L8" s="13">
        <f>(C8-B8)/B8</f>
        <v>3.51382488479264E-2</v>
      </c>
      <c r="M8" s="13">
        <f t="shared" si="1"/>
        <v>3.5058430717863201E-2</v>
      </c>
      <c r="N8" s="13">
        <f t="shared" si="1"/>
        <v>3.4946236559139664E-2</v>
      </c>
      <c r="O8" s="13">
        <f t="shared" si="1"/>
        <v>3.5324675324675432E-2</v>
      </c>
      <c r="P8" s="13">
        <f t="shared" si="1"/>
        <v>3.4621174109382841E-2</v>
      </c>
      <c r="Q8" s="13">
        <f t="shared" si="1"/>
        <v>3.4917555771095905E-2</v>
      </c>
      <c r="R8" s="13">
        <f t="shared" si="1"/>
        <v>3.5145267104030077E-2</v>
      </c>
      <c r="T8" s="375">
        <f t="shared" si="6"/>
        <v>0.13985554826001292</v>
      </c>
      <c r="U8" s="375">
        <f t="shared" si="7"/>
        <v>0.14022842639593908</v>
      </c>
      <c r="V8" s="375">
        <f t="shared" si="8"/>
        <v>0.13970588235294115</v>
      </c>
      <c r="W8" s="375">
        <f t="shared" si="9"/>
        <v>0.13972764949674371</v>
      </c>
      <c r="X8" s="375">
        <f t="shared" si="10"/>
        <v>0.14016018306636155</v>
      </c>
      <c r="Y8" s="375">
        <f t="shared" si="11"/>
        <v>0.13985627418463248</v>
      </c>
      <c r="Z8" s="375">
        <f t="shared" si="12"/>
        <v>0.13995726495726502</v>
      </c>
      <c r="AA8" s="375">
        <f t="shared" si="13"/>
        <v>0.13983488132094962</v>
      </c>
    </row>
    <row r="9" spans="1:40" s="12" customFormat="1" ht="38.25" customHeight="1" x14ac:dyDescent="0.25">
      <c r="A9" s="574">
        <v>5</v>
      </c>
      <c r="B9" s="576">
        <f t="shared" si="2"/>
        <v>20.609662219999997</v>
      </c>
      <c r="C9" s="576">
        <f t="shared" si="0"/>
        <v>21.338654819999999</v>
      </c>
      <c r="D9" s="576">
        <f t="shared" si="0"/>
        <v>22.078061599999998</v>
      </c>
      <c r="E9" s="576">
        <f t="shared" si="0"/>
        <v>22.859125099999996</v>
      </c>
      <c r="F9" s="576">
        <f t="shared" si="0"/>
        <v>23.650602779999996</v>
      </c>
      <c r="G9" s="576">
        <f t="shared" si="0"/>
        <v>24.483737179999999</v>
      </c>
      <c r="H9" s="576">
        <f t="shared" si="0"/>
        <v>25.337699939999997</v>
      </c>
      <c r="I9" s="576">
        <f t="shared" si="0"/>
        <v>26.222905239999996</v>
      </c>
      <c r="J9" s="11"/>
      <c r="L9" s="13">
        <f t="shared" si="4"/>
        <v>3.5371399696816651E-2</v>
      </c>
      <c r="M9" s="13">
        <f t="shared" si="1"/>
        <v>3.4651049292337706E-2</v>
      </c>
      <c r="N9" s="13">
        <f t="shared" si="1"/>
        <v>3.5377358490565967E-2</v>
      </c>
      <c r="O9" s="13">
        <f t="shared" si="1"/>
        <v>3.462414578587699E-2</v>
      </c>
      <c r="P9" s="13">
        <f t="shared" si="1"/>
        <v>3.5226772346983806E-2</v>
      </c>
      <c r="Q9" s="13">
        <f t="shared" si="1"/>
        <v>3.4878774989366153E-2</v>
      </c>
      <c r="R9" s="13">
        <f t="shared" si="1"/>
        <v>3.493629264282775E-2</v>
      </c>
      <c r="T9" s="16">
        <f t="shared" si="6"/>
        <v>0.1399769585253457</v>
      </c>
      <c r="U9" s="16">
        <f t="shared" si="7"/>
        <v>0.14023372287145242</v>
      </c>
      <c r="V9" s="16">
        <f t="shared" si="8"/>
        <v>0.13978494623655902</v>
      </c>
      <c r="W9" s="16">
        <f t="shared" si="9"/>
        <v>0.1402597402597402</v>
      </c>
      <c r="X9" s="16">
        <f t="shared" si="10"/>
        <v>0.13948820873055676</v>
      </c>
      <c r="Y9" s="16">
        <f t="shared" si="11"/>
        <v>0.14015518913676034</v>
      </c>
      <c r="Z9" s="16">
        <f t="shared" si="12"/>
        <v>0.14011246485473286</v>
      </c>
      <c r="AA9" s="16">
        <f t="shared" si="13"/>
        <v>0.13988229968311436</v>
      </c>
    </row>
    <row r="10" spans="1:40" s="12" customFormat="1" ht="35.25" customHeight="1" x14ac:dyDescent="0.25">
      <c r="A10" s="575">
        <v>6</v>
      </c>
      <c r="B10" s="577">
        <f t="shared" si="2"/>
        <v>23.50480426</v>
      </c>
      <c r="C10" s="577">
        <f t="shared" si="3"/>
        <v>24.327524479999997</v>
      </c>
      <c r="D10" s="577">
        <f t="shared" si="3"/>
        <v>25.171073060000001</v>
      </c>
      <c r="E10" s="577">
        <f t="shared" si="3"/>
        <v>26.056278359999997</v>
      </c>
      <c r="F10" s="577">
        <f t="shared" si="3"/>
        <v>26.962312019999999</v>
      </c>
      <c r="G10" s="577">
        <f t="shared" si="3"/>
        <v>27.910002399999996</v>
      </c>
      <c r="H10" s="577">
        <f t="shared" si="3"/>
        <v>28.888935319999998</v>
      </c>
      <c r="I10" s="577">
        <f t="shared" si="3"/>
        <v>29.899110779999997</v>
      </c>
      <c r="J10" s="11"/>
      <c r="L10" s="13">
        <f t="shared" si="4"/>
        <v>3.5002215330084067E-2</v>
      </c>
      <c r="M10" s="13">
        <f t="shared" si="1"/>
        <v>3.4674657534246735E-2</v>
      </c>
      <c r="N10" s="13">
        <f t="shared" si="1"/>
        <v>3.516756309474537E-2</v>
      </c>
      <c r="O10" s="13">
        <f t="shared" si="1"/>
        <v>3.4772182254196725E-2</v>
      </c>
      <c r="P10" s="13">
        <f t="shared" si="1"/>
        <v>3.5148706064117324E-2</v>
      </c>
      <c r="Q10" s="13">
        <f t="shared" si="1"/>
        <v>3.5074626865671713E-2</v>
      </c>
      <c r="R10" s="13">
        <f t="shared" si="1"/>
        <v>3.4967555875991325E-2</v>
      </c>
      <c r="T10" s="375">
        <f t="shared" si="6"/>
        <v>0.14047498736735742</v>
      </c>
      <c r="U10" s="375">
        <f t="shared" si="7"/>
        <v>0.14006832601268907</v>
      </c>
      <c r="V10" s="375">
        <f t="shared" si="8"/>
        <v>0.14009433962264167</v>
      </c>
      <c r="W10" s="375">
        <f t="shared" si="9"/>
        <v>0.13986332574031896</v>
      </c>
      <c r="X10" s="375">
        <f t="shared" si="10"/>
        <v>0.14002642007926036</v>
      </c>
      <c r="Y10" s="375">
        <f t="shared" si="11"/>
        <v>0.1399404508719693</v>
      </c>
      <c r="Z10" s="375">
        <f t="shared" si="12"/>
        <v>0.1401561857788739</v>
      </c>
      <c r="AA10" s="375">
        <f t="shared" si="13"/>
        <v>0.14019062748212877</v>
      </c>
    </row>
    <row r="11" spans="1:40" s="12" customFormat="1" ht="38.25" customHeight="1" x14ac:dyDescent="0.25">
      <c r="A11" s="574">
        <v>7</v>
      </c>
      <c r="B11" s="576">
        <f t="shared" si="2"/>
        <v>26.087520899999998</v>
      </c>
      <c r="C11" s="576">
        <f t="shared" si="0"/>
        <v>26.99355456</v>
      </c>
      <c r="D11" s="576">
        <f t="shared" si="0"/>
        <v>27.941244939999994</v>
      </c>
      <c r="E11" s="576">
        <f t="shared" si="0"/>
        <v>28.920177859999999</v>
      </c>
      <c r="F11" s="576">
        <f t="shared" si="0"/>
        <v>29.930353319999995</v>
      </c>
      <c r="G11" s="576">
        <f t="shared" si="0"/>
        <v>30.9821855</v>
      </c>
      <c r="H11" s="576">
        <f t="shared" si="0"/>
        <v>32.065260219999999</v>
      </c>
      <c r="I11" s="576">
        <f t="shared" si="0"/>
        <v>33.189991659999997</v>
      </c>
      <c r="J11" s="11"/>
      <c r="L11" s="13">
        <f t="shared" si="4"/>
        <v>3.4730538922155774E-2</v>
      </c>
      <c r="M11" s="13">
        <f t="shared" si="1"/>
        <v>3.5108024691357799E-2</v>
      </c>
      <c r="N11" s="13">
        <f t="shared" si="1"/>
        <v>3.5035408125233147E-2</v>
      </c>
      <c r="O11" s="13">
        <f t="shared" si="1"/>
        <v>3.4929780338494629E-2</v>
      </c>
      <c r="P11" s="13">
        <f t="shared" si="1"/>
        <v>3.5142658315936159E-2</v>
      </c>
      <c r="Q11" s="13">
        <f t="shared" si="1"/>
        <v>3.4957983193277281E-2</v>
      </c>
      <c r="R11" s="13">
        <f t="shared" si="1"/>
        <v>3.5076323481649824E-2</v>
      </c>
      <c r="T11" s="16">
        <f t="shared" si="6"/>
        <v>0.10988037217545403</v>
      </c>
      <c r="U11" s="16">
        <f t="shared" si="7"/>
        <v>0.10958904109589052</v>
      </c>
      <c r="V11" s="16">
        <f t="shared" si="8"/>
        <v>0.11005378568473283</v>
      </c>
      <c r="W11" s="16">
        <f t="shared" si="9"/>
        <v>0.10991207034372512</v>
      </c>
      <c r="X11" s="16">
        <f t="shared" si="10"/>
        <v>0.11008111239860935</v>
      </c>
      <c r="Y11" s="16">
        <f t="shared" si="11"/>
        <v>0.11007462686567179</v>
      </c>
      <c r="Z11" s="16">
        <f t="shared" si="12"/>
        <v>0.10994953136265324</v>
      </c>
      <c r="AA11" s="16">
        <f t="shared" si="13"/>
        <v>0.11006617903169627</v>
      </c>
    </row>
    <row r="12" spans="1:40" s="12" customFormat="1" ht="35.25" customHeight="1" x14ac:dyDescent="0.25">
      <c r="A12" s="575">
        <v>8</v>
      </c>
      <c r="B12" s="577">
        <f t="shared" si="2"/>
        <v>28.9514204</v>
      </c>
      <c r="C12" s="577">
        <f t="shared" si="3"/>
        <v>29.972010039999997</v>
      </c>
      <c r="D12" s="577">
        <f t="shared" si="3"/>
        <v>31.013428040000001</v>
      </c>
      <c r="E12" s="577">
        <f t="shared" si="3"/>
        <v>32.106916939999998</v>
      </c>
      <c r="F12" s="577">
        <f t="shared" si="3"/>
        <v>33.231648379999996</v>
      </c>
      <c r="G12" s="577">
        <f t="shared" si="3"/>
        <v>34.387622360000002</v>
      </c>
      <c r="H12" s="577">
        <f t="shared" si="3"/>
        <v>35.595667239999997</v>
      </c>
      <c r="I12" s="577">
        <f t="shared" si="3"/>
        <v>36.834954660000001</v>
      </c>
      <c r="J12" s="11"/>
      <c r="L12" s="13">
        <f t="shared" si="4"/>
        <v>3.5251798561150981E-2</v>
      </c>
      <c r="M12" s="13">
        <f t="shared" si="1"/>
        <v>3.4746351633078654E-2</v>
      </c>
      <c r="N12" s="13">
        <f t="shared" si="1"/>
        <v>3.5258562793821259E-2</v>
      </c>
      <c r="O12" s="13">
        <f t="shared" si="1"/>
        <v>3.503081414206935E-2</v>
      </c>
      <c r="P12" s="13">
        <f t="shared" si="1"/>
        <v>3.4785333751175367E-2</v>
      </c>
      <c r="Q12" s="13">
        <f t="shared" si="1"/>
        <v>3.513022410660193E-2</v>
      </c>
      <c r="R12" s="13">
        <f t="shared" si="1"/>
        <v>3.481568168519613E-2</v>
      </c>
      <c r="T12" s="375">
        <f t="shared" si="6"/>
        <v>0.10978043912175658</v>
      </c>
      <c r="U12" s="375">
        <f t="shared" si="7"/>
        <v>0.11033950617283941</v>
      </c>
      <c r="V12" s="375">
        <f t="shared" si="8"/>
        <v>0.10995154677599731</v>
      </c>
      <c r="W12" s="375">
        <f t="shared" si="9"/>
        <v>0.11019085343896287</v>
      </c>
      <c r="X12" s="375">
        <f t="shared" si="10"/>
        <v>0.11029923451635357</v>
      </c>
      <c r="Y12" s="375">
        <f t="shared" si="11"/>
        <v>0.10991596638655468</v>
      </c>
      <c r="Z12" s="375">
        <f t="shared" si="12"/>
        <v>0.11010068203962321</v>
      </c>
      <c r="AA12" s="375">
        <f t="shared" si="13"/>
        <v>0.10982114841543786</v>
      </c>
    </row>
    <row r="13" spans="1:40" s="12" customFormat="1" ht="38.25" customHeight="1" x14ac:dyDescent="0.25">
      <c r="A13" s="574">
        <v>9</v>
      </c>
      <c r="B13" s="576">
        <f t="shared" si="2"/>
        <v>32.138159479999999</v>
      </c>
      <c r="C13" s="576">
        <f t="shared" si="0"/>
        <v>33.262890919999997</v>
      </c>
      <c r="D13" s="576">
        <f t="shared" si="0"/>
        <v>34.429279080000001</v>
      </c>
      <c r="E13" s="576">
        <f t="shared" si="0"/>
        <v>35.637323959999996</v>
      </c>
      <c r="F13" s="576">
        <f t="shared" si="0"/>
        <v>36.876611379999993</v>
      </c>
      <c r="G13" s="576">
        <f t="shared" si="0"/>
        <v>38.167969699999993</v>
      </c>
      <c r="H13" s="576">
        <f t="shared" si="0"/>
        <v>39.511398919999991</v>
      </c>
      <c r="I13" s="576">
        <f t="shared" si="0"/>
        <v>40.886070679999996</v>
      </c>
      <c r="J13" s="11"/>
      <c r="L13" s="13">
        <f t="shared" si="4"/>
        <v>3.4996759559300004E-2</v>
      </c>
      <c r="M13" s="13">
        <f t="shared" si="1"/>
        <v>3.5065748278021412E-2</v>
      </c>
      <c r="N13" s="13">
        <f t="shared" si="1"/>
        <v>3.5087719298245487E-2</v>
      </c>
      <c r="O13" s="13">
        <f t="shared" si="1"/>
        <v>3.4774985388661507E-2</v>
      </c>
      <c r="P13" s="13">
        <f t="shared" si="1"/>
        <v>3.5018356396498182E-2</v>
      </c>
      <c r="Q13" s="13">
        <f t="shared" si="1"/>
        <v>3.5197817189631588E-2</v>
      </c>
      <c r="R13" s="13">
        <f t="shared" si="1"/>
        <v>3.4791776489193606E-2</v>
      </c>
      <c r="T13" s="16">
        <f t="shared" si="6"/>
        <v>0.11007194244604313</v>
      </c>
      <c r="U13" s="16">
        <f t="shared" si="7"/>
        <v>0.10979847116052814</v>
      </c>
      <c r="V13" s="16">
        <f t="shared" si="8"/>
        <v>0.11014103425117527</v>
      </c>
      <c r="W13" s="16">
        <f t="shared" si="9"/>
        <v>0.10995783327927339</v>
      </c>
      <c r="X13" s="16">
        <f t="shared" si="10"/>
        <v>0.10968348480100275</v>
      </c>
      <c r="Y13" s="16">
        <f t="shared" si="11"/>
        <v>0.10993337371290102</v>
      </c>
      <c r="Z13" s="16">
        <f t="shared" si="12"/>
        <v>0.11000585137507296</v>
      </c>
      <c r="AA13" s="16">
        <f t="shared" si="13"/>
        <v>0.1099802092168503</v>
      </c>
      <c r="AN13" s="12" t="s">
        <v>1472</v>
      </c>
    </row>
    <row r="14" spans="1:40" s="12" customFormat="1" ht="35.25" customHeight="1" x14ac:dyDescent="0.25">
      <c r="A14" s="575">
        <v>10</v>
      </c>
      <c r="B14" s="577">
        <f t="shared" si="2"/>
        <v>35.678980679999995</v>
      </c>
      <c r="C14" s="577">
        <f t="shared" si="3"/>
        <v>36.928682279999997</v>
      </c>
      <c r="D14" s="577">
        <f t="shared" si="3"/>
        <v>38.220040600000004</v>
      </c>
      <c r="E14" s="577">
        <f t="shared" si="3"/>
        <v>39.55305563999999</v>
      </c>
      <c r="F14" s="577">
        <f t="shared" si="3"/>
        <v>40.938141579999993</v>
      </c>
      <c r="G14" s="577">
        <f t="shared" si="3"/>
        <v>42.375298419999993</v>
      </c>
      <c r="H14" s="577">
        <f t="shared" si="3"/>
        <v>43.854111979999999</v>
      </c>
      <c r="I14" s="577">
        <f t="shared" si="3"/>
        <v>45.384996439999995</v>
      </c>
      <c r="J14" s="11"/>
      <c r="L14" s="13">
        <f t="shared" si="4"/>
        <v>3.5026269702276756E-2</v>
      </c>
      <c r="M14" s="13">
        <f t="shared" si="1"/>
        <v>3.4968979131415889E-2</v>
      </c>
      <c r="N14" s="13">
        <f t="shared" si="1"/>
        <v>3.4877384196184892E-2</v>
      </c>
      <c r="O14" s="13">
        <f t="shared" si="1"/>
        <v>3.5018430753028004E-2</v>
      </c>
      <c r="P14" s="13">
        <f t="shared" si="1"/>
        <v>3.51055711015009E-2</v>
      </c>
      <c r="Q14" s="13">
        <f t="shared" si="1"/>
        <v>3.4898009338904058E-2</v>
      </c>
      <c r="R14" s="13">
        <f t="shared" si="1"/>
        <v>3.4908572785561531E-2</v>
      </c>
      <c r="T14" s="375">
        <f>(B14-B13)/B13</f>
        <v>0.11017498379779639</v>
      </c>
      <c r="U14" s="375">
        <f t="shared" si="7"/>
        <v>0.11020663744520978</v>
      </c>
      <c r="V14" s="375">
        <f t="shared" si="8"/>
        <v>0.11010284331518462</v>
      </c>
      <c r="W14" s="375">
        <f t="shared" si="9"/>
        <v>0.1098772647574516</v>
      </c>
      <c r="X14" s="375">
        <f t="shared" si="10"/>
        <v>0.11013837898898618</v>
      </c>
      <c r="Y14" s="375">
        <f t="shared" si="11"/>
        <v>0.11023192360163711</v>
      </c>
      <c r="Z14" s="375">
        <f t="shared" si="12"/>
        <v>0.10991038481813413</v>
      </c>
      <c r="AA14" s="375">
        <f t="shared" si="13"/>
        <v>0.11003565970453386</v>
      </c>
    </row>
    <row r="15" spans="1:40" s="12" customFormat="1" ht="38.25" customHeight="1" x14ac:dyDescent="0.25">
      <c r="A15" s="574">
        <v>11</v>
      </c>
      <c r="B15" s="576">
        <f t="shared" si="2"/>
        <v>39.594712359999995</v>
      </c>
      <c r="C15" s="576">
        <f t="shared" si="0"/>
        <v>40.990212479999997</v>
      </c>
      <c r="D15" s="576">
        <f t="shared" si="0"/>
        <v>42.416955139999992</v>
      </c>
      <c r="E15" s="576">
        <f t="shared" si="0"/>
        <v>43.906182879999989</v>
      </c>
      <c r="F15" s="576">
        <f t="shared" si="0"/>
        <v>45.437067339999999</v>
      </c>
      <c r="G15" s="576">
        <f t="shared" si="0"/>
        <v>47.030436879999996</v>
      </c>
      <c r="H15" s="576">
        <f t="shared" si="0"/>
        <v>48.675877319999998</v>
      </c>
      <c r="I15" s="576">
        <f t="shared" si="0"/>
        <v>50.383802840000001</v>
      </c>
      <c r="J15" s="11"/>
      <c r="L15" s="13">
        <f t="shared" si="4"/>
        <v>3.5244608100999511E-2</v>
      </c>
      <c r="M15" s="13">
        <f t="shared" si="1"/>
        <v>3.4806910569105572E-2</v>
      </c>
      <c r="N15" s="13">
        <f t="shared" si="1"/>
        <v>3.5109256076601945E-2</v>
      </c>
      <c r="O15" s="13">
        <f t="shared" si="1"/>
        <v>3.4867172675522057E-2</v>
      </c>
      <c r="P15" s="13">
        <f t="shared" si="1"/>
        <v>3.5067614027045557E-2</v>
      </c>
      <c r="Q15" s="13">
        <f t="shared" si="1"/>
        <v>3.498671390611164E-2</v>
      </c>
      <c r="R15" s="13">
        <f t="shared" si="1"/>
        <v>3.5087719298245688E-2</v>
      </c>
      <c r="T15" s="16">
        <f t="shared" si="6"/>
        <v>0.10974897840046705</v>
      </c>
      <c r="U15" s="16">
        <f t="shared" si="7"/>
        <v>0.10998307952622674</v>
      </c>
      <c r="V15" s="16">
        <f t="shared" si="8"/>
        <v>0.10980926430517678</v>
      </c>
      <c r="W15" s="16">
        <f t="shared" si="9"/>
        <v>0.11005792522380201</v>
      </c>
      <c r="X15" s="16">
        <f t="shared" si="10"/>
        <v>0.10989570083948121</v>
      </c>
      <c r="Y15" s="16">
        <f t="shared" si="11"/>
        <v>0.10985500122880325</v>
      </c>
      <c r="Z15" s="16">
        <f t="shared" si="12"/>
        <v>0.10995013061030631</v>
      </c>
      <c r="AA15" s="16">
        <f t="shared" si="13"/>
        <v>0.11014226709499786</v>
      </c>
    </row>
    <row r="16" spans="1:40" s="12" customFormat="1" ht="35.25" customHeight="1" x14ac:dyDescent="0.25">
      <c r="A16" s="575">
        <v>12</v>
      </c>
      <c r="B16" s="577">
        <f t="shared" si="2"/>
        <v>43.95825378</v>
      </c>
      <c r="C16" s="577">
        <f t="shared" si="3"/>
        <v>45.489138239999996</v>
      </c>
      <c r="D16" s="577">
        <f t="shared" si="3"/>
        <v>47.08250778</v>
      </c>
      <c r="E16" s="577">
        <f t="shared" si="3"/>
        <v>48.738362399999993</v>
      </c>
      <c r="F16" s="577">
        <f t="shared" si="3"/>
        <v>50.435873739999998</v>
      </c>
      <c r="G16" s="577">
        <f t="shared" si="3"/>
        <v>52.206284340000003</v>
      </c>
      <c r="H16" s="577">
        <f t="shared" si="3"/>
        <v>54.028765839999998</v>
      </c>
      <c r="I16" s="577">
        <f t="shared" si="3"/>
        <v>55.924146599999993</v>
      </c>
      <c r="J16" s="11"/>
      <c r="L16" s="13">
        <f t="shared" si="4"/>
        <v>3.4825870646766073E-2</v>
      </c>
      <c r="M16" s="13">
        <f t="shared" si="1"/>
        <v>3.5027472527472632E-2</v>
      </c>
      <c r="N16" s="13">
        <f t="shared" si="1"/>
        <v>3.5169210351691939E-2</v>
      </c>
      <c r="O16" s="13">
        <f t="shared" si="1"/>
        <v>3.4829059829059948E-2</v>
      </c>
      <c r="P16" s="13">
        <f t="shared" si="1"/>
        <v>3.5102209374354848E-2</v>
      </c>
      <c r="Q16" s="13">
        <f t="shared" si="1"/>
        <v>3.4909235986435166E-2</v>
      </c>
      <c r="R16" s="13">
        <f t="shared" si="1"/>
        <v>3.5080956052428586E-2</v>
      </c>
      <c r="T16" s="375">
        <f t="shared" si="6"/>
        <v>0.11020515518148355</v>
      </c>
      <c r="U16" s="375">
        <f t="shared" si="7"/>
        <v>0.10975609756097558</v>
      </c>
      <c r="V16" s="375">
        <f t="shared" si="8"/>
        <v>0.10999263442180233</v>
      </c>
      <c r="W16" s="375">
        <f t="shared" si="9"/>
        <v>0.11005692599620505</v>
      </c>
      <c r="X16" s="375">
        <f t="shared" si="10"/>
        <v>0.1100160440064176</v>
      </c>
      <c r="Y16" s="375">
        <f t="shared" si="11"/>
        <v>0.11005314437555375</v>
      </c>
      <c r="Z16" s="375">
        <f t="shared" si="12"/>
        <v>0.10997004706889175</v>
      </c>
      <c r="AA16" s="375">
        <f t="shared" si="13"/>
        <v>0.1099627945431995</v>
      </c>
    </row>
    <row r="17" spans="1:18" x14ac:dyDescent="0.25">
      <c r="A17" s="17"/>
      <c r="B17" s="18" t="s">
        <v>6</v>
      </c>
      <c r="C17" s="7"/>
      <c r="D17" s="7"/>
      <c r="E17" s="7"/>
      <c r="F17" s="7"/>
      <c r="G17" s="7"/>
      <c r="H17" s="7"/>
      <c r="I17" s="7"/>
      <c r="J17" s="3"/>
    </row>
    <row r="18" spans="1:18" x14ac:dyDescent="0.25">
      <c r="A18" s="2" t="s">
        <v>97</v>
      </c>
    </row>
    <row r="19" spans="1:18" x14ac:dyDescent="0.25">
      <c r="A19" s="19" t="s">
        <v>88</v>
      </c>
      <c r="B19" s="19" t="s">
        <v>89</v>
      </c>
      <c r="C19" s="19" t="s">
        <v>90</v>
      </c>
      <c r="D19" s="19" t="s">
        <v>91</v>
      </c>
      <c r="E19" s="19" t="s">
        <v>92</v>
      </c>
      <c r="F19" s="19" t="s">
        <v>93</v>
      </c>
      <c r="G19" s="19" t="s">
        <v>94</v>
      </c>
      <c r="H19" s="19" t="s">
        <v>95</v>
      </c>
      <c r="I19" s="19" t="s">
        <v>96</v>
      </c>
      <c r="J19" s="19"/>
    </row>
    <row r="20" spans="1:18" s="12" customFormat="1" x14ac:dyDescent="0.25">
      <c r="A20" s="12">
        <v>1</v>
      </c>
      <c r="B20" s="277">
        <v>1.022</v>
      </c>
      <c r="C20" s="277">
        <v>1.022</v>
      </c>
      <c r="D20" s="277">
        <v>1.022</v>
      </c>
      <c r="E20" s="277">
        <v>1.022</v>
      </c>
      <c r="F20" s="277">
        <v>1.022</v>
      </c>
      <c r="G20" s="277">
        <v>1.022</v>
      </c>
      <c r="H20" s="277">
        <v>1.022</v>
      </c>
      <c r="I20" s="277">
        <v>1.022</v>
      </c>
      <c r="J20" s="20"/>
      <c r="K20" s="20">
        <f>(B5-B34)/B34</f>
        <v>2.2000000000000009E-2</v>
      </c>
      <c r="L20" s="20">
        <f t="shared" ref="K20:R31" si="14">(C5-C34)/C34</f>
        <v>2.2000000000000068E-2</v>
      </c>
      <c r="M20" s="20">
        <f t="shared" si="14"/>
        <v>2.1999999999999988E-2</v>
      </c>
      <c r="N20" s="20">
        <f t="shared" si="14"/>
        <v>2.2000000000000051E-2</v>
      </c>
      <c r="O20" s="20">
        <f t="shared" si="14"/>
        <v>2.1999999999999978E-2</v>
      </c>
      <c r="P20" s="20">
        <f t="shared" si="14"/>
        <v>2.200000000000004E-2</v>
      </c>
      <c r="Q20" s="20">
        <f t="shared" si="14"/>
        <v>2.1999999999999978E-2</v>
      </c>
      <c r="R20" s="20">
        <f t="shared" si="14"/>
        <v>2.2000000000000037E-2</v>
      </c>
    </row>
    <row r="21" spans="1:18" s="12" customFormat="1" x14ac:dyDescent="0.25">
      <c r="A21" s="12">
        <v>2</v>
      </c>
      <c r="B21" s="277">
        <v>1.022</v>
      </c>
      <c r="C21" s="277">
        <v>1.022</v>
      </c>
      <c r="D21" s="277">
        <v>1.022</v>
      </c>
      <c r="E21" s="277">
        <v>1.022</v>
      </c>
      <c r="F21" s="277">
        <v>1.022</v>
      </c>
      <c r="G21" s="277">
        <v>1.022</v>
      </c>
      <c r="H21" s="277">
        <v>1.022</v>
      </c>
      <c r="I21" s="277">
        <v>1.022</v>
      </c>
      <c r="J21" s="20"/>
      <c r="K21" s="20">
        <f t="shared" si="14"/>
        <v>2.1999999999999967E-2</v>
      </c>
      <c r="L21" s="20">
        <f t="shared" si="14"/>
        <v>2.200000000000003E-2</v>
      </c>
      <c r="M21" s="20">
        <f t="shared" si="14"/>
        <v>2.1999999999999964E-2</v>
      </c>
      <c r="N21" s="20">
        <f t="shared" si="14"/>
        <v>2.2000000000000026E-2</v>
      </c>
      <c r="O21" s="20">
        <f t="shared" si="14"/>
        <v>2.1999999999999974E-2</v>
      </c>
      <c r="P21" s="20">
        <f t="shared" si="14"/>
        <v>2.2000000000000037E-2</v>
      </c>
      <c r="Q21" s="20">
        <f t="shared" si="14"/>
        <v>2.2000000000000092E-2</v>
      </c>
      <c r="R21" s="20">
        <f t="shared" si="14"/>
        <v>2.199999999999995E-2</v>
      </c>
    </row>
    <row r="22" spans="1:18" s="12" customFormat="1" x14ac:dyDescent="0.25">
      <c r="A22" s="12">
        <v>3</v>
      </c>
      <c r="B22" s="277">
        <v>1.022</v>
      </c>
      <c r="C22" s="277">
        <v>1.022</v>
      </c>
      <c r="D22" s="277">
        <v>1.022</v>
      </c>
      <c r="E22" s="277">
        <v>1.022</v>
      </c>
      <c r="F22" s="277">
        <v>1.022</v>
      </c>
      <c r="G22" s="277">
        <v>1.022</v>
      </c>
      <c r="H22" s="277">
        <v>1.022</v>
      </c>
      <c r="I22" s="277">
        <v>1.022</v>
      </c>
      <c r="J22" s="20"/>
      <c r="K22" s="20">
        <f t="shared" si="14"/>
        <v>2.2000000000000075E-2</v>
      </c>
      <c r="L22" s="20">
        <f t="shared" si="14"/>
        <v>2.2000000000000023E-2</v>
      </c>
      <c r="M22" s="20">
        <f t="shared" si="14"/>
        <v>2.2000000000000082E-2</v>
      </c>
      <c r="N22" s="20">
        <f t="shared" si="14"/>
        <v>2.1999999999999936E-2</v>
      </c>
      <c r="O22" s="20">
        <f t="shared" si="14"/>
        <v>2.1999999999999995E-2</v>
      </c>
      <c r="P22" s="20">
        <f t="shared" si="14"/>
        <v>2.2000000000000058E-2</v>
      </c>
      <c r="Q22" s="20">
        <f t="shared" si="14"/>
        <v>2.1999999999999929E-2</v>
      </c>
      <c r="R22" s="20">
        <f t="shared" si="14"/>
        <v>2.1999999999999995E-2</v>
      </c>
    </row>
    <row r="23" spans="1:18" s="12" customFormat="1" x14ac:dyDescent="0.25">
      <c r="A23" s="12">
        <v>4</v>
      </c>
      <c r="B23" s="277">
        <v>1.022</v>
      </c>
      <c r="C23" s="277">
        <v>1.022</v>
      </c>
      <c r="D23" s="277">
        <v>1.022</v>
      </c>
      <c r="E23" s="277">
        <v>1.022</v>
      </c>
      <c r="F23" s="277">
        <v>1.022</v>
      </c>
      <c r="G23" s="277">
        <v>1.022</v>
      </c>
      <c r="H23" s="277">
        <v>1.022</v>
      </c>
      <c r="I23" s="277">
        <v>1.022</v>
      </c>
      <c r="J23" s="20"/>
      <c r="K23" s="20">
        <f t="shared" si="14"/>
        <v>2.1999999999999988E-2</v>
      </c>
      <c r="L23" s="20">
        <f t="shared" si="14"/>
        <v>2.2000000000000047E-2</v>
      </c>
      <c r="M23" s="20">
        <f t="shared" si="14"/>
        <v>2.2000000000000106E-2</v>
      </c>
      <c r="N23" s="20">
        <f t="shared" si="14"/>
        <v>2.1999999999999981E-2</v>
      </c>
      <c r="O23" s="20">
        <f t="shared" si="14"/>
        <v>2.2000000000000044E-2</v>
      </c>
      <c r="P23" s="20">
        <f t="shared" si="14"/>
        <v>2.2000000000000103E-2</v>
      </c>
      <c r="Q23" s="20">
        <f t="shared" si="14"/>
        <v>2.1999999999999995E-2</v>
      </c>
      <c r="R23" s="20">
        <f t="shared" si="14"/>
        <v>2.2000000000000058E-2</v>
      </c>
    </row>
    <row r="24" spans="1:18" s="12" customFormat="1" x14ac:dyDescent="0.25">
      <c r="A24" s="12">
        <v>5</v>
      </c>
      <c r="B24" s="277">
        <v>1.022</v>
      </c>
      <c r="C24" s="277">
        <v>1.022</v>
      </c>
      <c r="D24" s="277">
        <v>1.022</v>
      </c>
      <c r="E24" s="277">
        <v>1.022</v>
      </c>
      <c r="F24" s="277">
        <v>1.022</v>
      </c>
      <c r="G24" s="277">
        <v>1.022</v>
      </c>
      <c r="H24" s="277">
        <v>1.022</v>
      </c>
      <c r="I24" s="277">
        <v>1.022</v>
      </c>
      <c r="J24" s="20"/>
      <c r="K24" s="20">
        <f t="shared" si="14"/>
        <v>2.2000000000000033E-2</v>
      </c>
      <c r="L24" s="20">
        <f t="shared" si="14"/>
        <v>2.2000000000000092E-2</v>
      </c>
      <c r="M24" s="20">
        <f t="shared" si="14"/>
        <v>2.1999999999999985E-2</v>
      </c>
      <c r="N24" s="20">
        <f t="shared" si="14"/>
        <v>2.2000000000000047E-2</v>
      </c>
      <c r="O24" s="20">
        <f t="shared" si="14"/>
        <v>2.199999999999995E-2</v>
      </c>
      <c r="P24" s="20">
        <f t="shared" si="14"/>
        <v>2.2000000000000013E-2</v>
      </c>
      <c r="Q24" s="20">
        <f t="shared" si="14"/>
        <v>2.2000000000000075E-2</v>
      </c>
      <c r="R24" s="20">
        <f t="shared" si="14"/>
        <v>2.1999999999999995E-2</v>
      </c>
    </row>
    <row r="25" spans="1:18" s="12" customFormat="1" x14ac:dyDescent="0.25">
      <c r="A25" s="12">
        <v>6</v>
      </c>
      <c r="B25" s="277">
        <v>1.022</v>
      </c>
      <c r="C25" s="277">
        <v>1.022</v>
      </c>
      <c r="D25" s="277">
        <v>1.022</v>
      </c>
      <c r="E25" s="277">
        <v>1.022</v>
      </c>
      <c r="F25" s="277">
        <v>1.022</v>
      </c>
      <c r="G25" s="277">
        <v>1.022</v>
      </c>
      <c r="H25" s="277">
        <v>1.022</v>
      </c>
      <c r="I25" s="277">
        <v>1.022</v>
      </c>
      <c r="J25" s="20"/>
      <c r="K25" s="20">
        <f t="shared" si="14"/>
        <v>2.2000000000000092E-2</v>
      </c>
      <c r="L25" s="20">
        <f t="shared" si="14"/>
        <v>2.2000000000000002E-2</v>
      </c>
      <c r="M25" s="20">
        <f t="shared" si="14"/>
        <v>2.2000000000000061E-2</v>
      </c>
      <c r="N25" s="20">
        <f t="shared" si="14"/>
        <v>2.1999999999999981E-2</v>
      </c>
      <c r="O25" s="20">
        <f t="shared" si="14"/>
        <v>2.2000000000000044E-2</v>
      </c>
      <c r="P25" s="20">
        <f t="shared" si="14"/>
        <v>2.1999999999999971E-2</v>
      </c>
      <c r="Q25" s="20">
        <f t="shared" si="14"/>
        <v>2.2000000000000033E-2</v>
      </c>
      <c r="R25" s="20">
        <f t="shared" si="14"/>
        <v>2.1999999999999971E-2</v>
      </c>
    </row>
    <row r="26" spans="1:18" s="12" customFormat="1" x14ac:dyDescent="0.25">
      <c r="A26" s="12">
        <v>7</v>
      </c>
      <c r="B26" s="277">
        <v>1.022</v>
      </c>
      <c r="C26" s="277">
        <v>1.022</v>
      </c>
      <c r="D26" s="277">
        <v>1.022</v>
      </c>
      <c r="E26" s="277">
        <v>1.022</v>
      </c>
      <c r="F26" s="277">
        <v>1.022</v>
      </c>
      <c r="G26" s="277">
        <v>1.022</v>
      </c>
      <c r="H26" s="277">
        <v>1.022</v>
      </c>
      <c r="I26" s="277">
        <v>1.022</v>
      </c>
      <c r="J26" s="20"/>
      <c r="K26" s="20">
        <f t="shared" si="14"/>
        <v>2.1999999999999985E-2</v>
      </c>
      <c r="L26" s="20">
        <f t="shared" si="14"/>
        <v>2.2000000000000044E-2</v>
      </c>
      <c r="M26" s="20">
        <f t="shared" si="14"/>
        <v>2.1999999999999978E-2</v>
      </c>
      <c r="N26" s="20">
        <f t="shared" si="14"/>
        <v>2.2000000000000037E-2</v>
      </c>
      <c r="O26" s="20">
        <f t="shared" si="14"/>
        <v>2.1999999999999974E-2</v>
      </c>
      <c r="P26" s="20">
        <f t="shared" si="14"/>
        <v>2.2000000000000033E-2</v>
      </c>
      <c r="Q26" s="20">
        <f t="shared" si="14"/>
        <v>2.2000000000000096E-2</v>
      </c>
      <c r="R26" s="20">
        <f t="shared" si="14"/>
        <v>2.1999999999999933E-2</v>
      </c>
    </row>
    <row r="27" spans="1:18" s="12" customFormat="1" x14ac:dyDescent="0.25">
      <c r="A27" s="12">
        <v>8</v>
      </c>
      <c r="B27" s="277">
        <v>1.022</v>
      </c>
      <c r="C27" s="277">
        <v>1.022</v>
      </c>
      <c r="D27" s="277">
        <v>1.022</v>
      </c>
      <c r="E27" s="277">
        <v>1.022</v>
      </c>
      <c r="F27" s="277">
        <v>1.022</v>
      </c>
      <c r="G27" s="277">
        <v>1.022</v>
      </c>
      <c r="H27" s="277">
        <v>1.022</v>
      </c>
      <c r="I27" s="277">
        <v>1.022</v>
      </c>
      <c r="J27" s="20"/>
      <c r="K27" s="20">
        <f t="shared" si="14"/>
        <v>2.2000000000000037E-2</v>
      </c>
      <c r="L27" s="20">
        <f t="shared" si="14"/>
        <v>2.1999999999999974E-2</v>
      </c>
      <c r="M27" s="20">
        <f t="shared" si="14"/>
        <v>2.2000000000000037E-2</v>
      </c>
      <c r="N27" s="20">
        <f t="shared" si="14"/>
        <v>2.2000000000000099E-2</v>
      </c>
      <c r="O27" s="20">
        <f t="shared" si="14"/>
        <v>2.1999999999999936E-2</v>
      </c>
      <c r="P27" s="20">
        <f t="shared" si="14"/>
        <v>2.2000000000000103E-2</v>
      </c>
      <c r="Q27" s="20">
        <f t="shared" si="14"/>
        <v>2.1999999999999957E-2</v>
      </c>
      <c r="R27" s="20">
        <f t="shared" si="14"/>
        <v>2.2000000000000117E-2</v>
      </c>
    </row>
    <row r="28" spans="1:18" s="12" customFormat="1" x14ac:dyDescent="0.25">
      <c r="A28" s="12">
        <v>9</v>
      </c>
      <c r="B28" s="277">
        <v>1.022</v>
      </c>
      <c r="C28" s="277">
        <v>1.022</v>
      </c>
      <c r="D28" s="277">
        <v>1.022</v>
      </c>
      <c r="E28" s="277">
        <v>1.022</v>
      </c>
      <c r="F28" s="277">
        <v>1.022</v>
      </c>
      <c r="G28" s="277">
        <v>1.022</v>
      </c>
      <c r="H28" s="277">
        <v>1.022</v>
      </c>
      <c r="I28" s="277">
        <v>1.022</v>
      </c>
      <c r="J28" s="20"/>
      <c r="K28" s="20">
        <f t="shared" si="14"/>
        <v>2.2000000000000099E-2</v>
      </c>
      <c r="L28" s="20">
        <f t="shared" si="14"/>
        <v>2.2000000000000047E-2</v>
      </c>
      <c r="M28" s="20">
        <f t="shared" si="14"/>
        <v>2.2000000000000106E-2</v>
      </c>
      <c r="N28" s="20">
        <f t="shared" si="14"/>
        <v>2.1999999999999961E-2</v>
      </c>
      <c r="O28" s="20">
        <f t="shared" si="14"/>
        <v>2.1999999999999922E-2</v>
      </c>
      <c r="P28" s="20">
        <f t="shared" si="14"/>
        <v>2.1999999999999988E-2</v>
      </c>
      <c r="Q28" s="20">
        <f t="shared" si="14"/>
        <v>2.1999999999999957E-2</v>
      </c>
      <c r="R28" s="20">
        <f t="shared" si="14"/>
        <v>2.2000000000000016E-2</v>
      </c>
    </row>
    <row r="29" spans="1:18" s="12" customFormat="1" x14ac:dyDescent="0.25">
      <c r="A29" s="12">
        <v>10</v>
      </c>
      <c r="B29" s="277">
        <v>1.022</v>
      </c>
      <c r="C29" s="277">
        <v>1.022</v>
      </c>
      <c r="D29" s="277">
        <v>1.022</v>
      </c>
      <c r="E29" s="277">
        <v>1.022</v>
      </c>
      <c r="F29" s="277">
        <v>1.022</v>
      </c>
      <c r="G29" s="277">
        <v>1.022</v>
      </c>
      <c r="H29" s="277">
        <v>1.022</v>
      </c>
      <c r="I29" s="277">
        <v>1.022</v>
      </c>
      <c r="J29" s="20"/>
      <c r="K29" s="20">
        <f t="shared" si="14"/>
        <v>2.1999999999999961E-2</v>
      </c>
      <c r="L29" s="20">
        <f t="shared" si="14"/>
        <v>2.2000000000000023E-2</v>
      </c>
      <c r="M29" s="20">
        <f t="shared" si="14"/>
        <v>2.2000000000000082E-2</v>
      </c>
      <c r="N29" s="20">
        <f t="shared" si="14"/>
        <v>2.1999999999999961E-2</v>
      </c>
      <c r="O29" s="20">
        <f t="shared" si="14"/>
        <v>2.1999999999999933E-2</v>
      </c>
      <c r="P29" s="20">
        <f t="shared" si="14"/>
        <v>2.1999999999999995E-2</v>
      </c>
      <c r="Q29" s="20">
        <f t="shared" si="14"/>
        <v>2.2000000000000054E-2</v>
      </c>
      <c r="R29" s="20">
        <f t="shared" si="14"/>
        <v>2.2000000000000033E-2</v>
      </c>
    </row>
    <row r="30" spans="1:18" s="12" customFormat="1" x14ac:dyDescent="0.25">
      <c r="A30" s="12">
        <v>11</v>
      </c>
      <c r="B30" s="277">
        <v>1.022</v>
      </c>
      <c r="C30" s="277">
        <v>1.022</v>
      </c>
      <c r="D30" s="277">
        <v>1.022</v>
      </c>
      <c r="E30" s="277">
        <v>1.022</v>
      </c>
      <c r="F30" s="277">
        <v>1.022</v>
      </c>
      <c r="G30" s="277">
        <v>1.022</v>
      </c>
      <c r="H30" s="277">
        <v>1.022</v>
      </c>
      <c r="I30" s="277">
        <v>1.022</v>
      </c>
      <c r="J30" s="20"/>
      <c r="K30" s="20">
        <f t="shared" si="14"/>
        <v>2.1999999999999961E-2</v>
      </c>
      <c r="L30" s="20">
        <f t="shared" si="14"/>
        <v>2.2000000000000023E-2</v>
      </c>
      <c r="M30" s="20">
        <f t="shared" si="14"/>
        <v>2.1999999999999999E-2</v>
      </c>
      <c r="N30" s="20">
        <f t="shared" si="14"/>
        <v>2.1999999999999978E-2</v>
      </c>
      <c r="O30" s="20">
        <f t="shared" si="14"/>
        <v>2.1999999999999954E-2</v>
      </c>
      <c r="P30" s="20">
        <f t="shared" si="14"/>
        <v>2.2000000000000096E-2</v>
      </c>
      <c r="Q30" s="20">
        <f t="shared" si="14"/>
        <v>2.2000000000000002E-2</v>
      </c>
      <c r="R30" s="20">
        <f t="shared" si="14"/>
        <v>2.2000000000000061E-2</v>
      </c>
    </row>
    <row r="31" spans="1:18" s="12" customFormat="1" x14ac:dyDescent="0.25">
      <c r="A31" s="12">
        <v>12</v>
      </c>
      <c r="B31" s="277">
        <v>1.022</v>
      </c>
      <c r="C31" s="277">
        <v>1.022</v>
      </c>
      <c r="D31" s="277">
        <v>1.022</v>
      </c>
      <c r="E31" s="277">
        <v>1.022</v>
      </c>
      <c r="F31" s="277">
        <v>1.022</v>
      </c>
      <c r="G31" s="277">
        <v>1.022</v>
      </c>
      <c r="H31" s="277">
        <v>1.022</v>
      </c>
      <c r="I31" s="277">
        <v>1.022</v>
      </c>
      <c r="J31" s="20"/>
      <c r="K31" s="20">
        <f t="shared" si="14"/>
        <v>2.2000000000000058E-2</v>
      </c>
      <c r="L31" s="20">
        <f t="shared" si="14"/>
        <v>2.2000000000000037E-2</v>
      </c>
      <c r="M31" s="20">
        <f t="shared" si="14"/>
        <v>2.200000000000002E-2</v>
      </c>
      <c r="N31" s="20">
        <f t="shared" si="14"/>
        <v>2.2000000000000006E-2</v>
      </c>
      <c r="O31" s="20">
        <f t="shared" si="14"/>
        <v>2.1999999999999992E-2</v>
      </c>
      <c r="P31" s="20">
        <f t="shared" si="14"/>
        <v>2.2000000000000051E-2</v>
      </c>
      <c r="Q31" s="20">
        <f t="shared" si="14"/>
        <v>2.2000000000000047E-2</v>
      </c>
      <c r="R31" s="20">
        <f t="shared" si="14"/>
        <v>2.1999999999999974E-2</v>
      </c>
    </row>
    <row r="32" spans="1:18" ht="15" customHeight="1" x14ac:dyDescent="0.25">
      <c r="B32" s="21" t="s">
        <v>6</v>
      </c>
      <c r="C32" s="21" t="s">
        <v>6</v>
      </c>
      <c r="D32" s="22" t="s">
        <v>6</v>
      </c>
      <c r="E32" s="22" t="s">
        <v>6</v>
      </c>
      <c r="F32" s="22" t="s">
        <v>6</v>
      </c>
      <c r="G32" s="22" t="s">
        <v>6</v>
      </c>
      <c r="H32" s="22" t="s">
        <v>6</v>
      </c>
      <c r="I32" s="22" t="s">
        <v>6</v>
      </c>
      <c r="J32" s="22"/>
    </row>
    <row r="33" spans="1:18" x14ac:dyDescent="0.25">
      <c r="B33" s="797" t="s">
        <v>1699</v>
      </c>
      <c r="C33" s="797"/>
      <c r="D33" s="797"/>
      <c r="E33" s="797"/>
      <c r="F33" s="797"/>
      <c r="G33" s="797"/>
      <c r="H33" s="797"/>
      <c r="I33" s="797"/>
      <c r="J33" s="797"/>
    </row>
    <row r="34" spans="1:18" x14ac:dyDescent="0.25">
      <c r="A34" s="9">
        <v>1</v>
      </c>
      <c r="B34" s="10">
        <v>11.942679999999999</v>
      </c>
      <c r="C34" s="10">
        <v>12.360469999999999</v>
      </c>
      <c r="D34" s="10">
        <v>12.788449999999999</v>
      </c>
      <c r="E34" s="10">
        <v>13.236809999999998</v>
      </c>
      <c r="F34" s="10">
        <v>13.705549999999999</v>
      </c>
      <c r="G34" s="10">
        <v>14.184479999999999</v>
      </c>
      <c r="H34" s="10">
        <v>14.683789999999998</v>
      </c>
      <c r="I34" s="10">
        <v>15.193289999999999</v>
      </c>
      <c r="J34" s="23"/>
      <c r="L34" s="24">
        <f>(C34-B34)/B34</f>
        <v>3.4982935153583632E-2</v>
      </c>
      <c r="M34" s="24">
        <f t="shared" ref="M34:R45" si="15">(D34-C34)/C34</f>
        <v>3.4624896949711444E-2</v>
      </c>
      <c r="N34" s="24">
        <f t="shared" si="15"/>
        <v>3.5059760956175239E-2</v>
      </c>
      <c r="O34" s="24">
        <f t="shared" si="15"/>
        <v>3.5411855273287177E-2</v>
      </c>
      <c r="P34" s="24">
        <f t="shared" si="15"/>
        <v>3.4944237918215625E-2</v>
      </c>
      <c r="Q34" s="24">
        <f t="shared" si="15"/>
        <v>3.520114942528732E-2</v>
      </c>
      <c r="R34" s="24">
        <f t="shared" si="15"/>
        <v>3.4698126301179806E-2</v>
      </c>
    </row>
    <row r="35" spans="1:18" x14ac:dyDescent="0.25">
      <c r="A35" s="14">
        <v>2</v>
      </c>
      <c r="B35" s="15">
        <v>13.613839999999998</v>
      </c>
      <c r="C35" s="15">
        <v>14.092769999999998</v>
      </c>
      <c r="D35" s="15">
        <v>14.58189</v>
      </c>
      <c r="E35" s="15">
        <v>15.091389999999999</v>
      </c>
      <c r="F35" s="15">
        <v>15.621269999999999</v>
      </c>
      <c r="G35" s="15">
        <v>16.171529999999997</v>
      </c>
      <c r="H35" s="15">
        <v>16.73198</v>
      </c>
      <c r="I35" s="15">
        <v>17.322999999999997</v>
      </c>
      <c r="J35" s="23"/>
      <c r="L35" s="24">
        <f t="shared" ref="L35:L45" si="16">(C35-B35)/B35</f>
        <v>3.5179640718562888E-2</v>
      </c>
      <c r="M35" s="24">
        <f t="shared" si="15"/>
        <v>3.470715835141009E-2</v>
      </c>
      <c r="N35" s="24">
        <f t="shared" si="15"/>
        <v>3.4940600978336775E-2</v>
      </c>
      <c r="O35" s="24">
        <f t="shared" si="15"/>
        <v>3.5111411208642834E-2</v>
      </c>
      <c r="P35" s="24">
        <f t="shared" si="15"/>
        <v>3.5225048923678934E-2</v>
      </c>
      <c r="Q35" s="24">
        <f t="shared" si="15"/>
        <v>3.4656584751102899E-2</v>
      </c>
      <c r="R35" s="24">
        <f t="shared" si="15"/>
        <v>3.5322777101096034E-2</v>
      </c>
    </row>
    <row r="36" spans="1:18" x14ac:dyDescent="0.25">
      <c r="A36" s="9">
        <v>3</v>
      </c>
      <c r="B36" s="10">
        <v>15.519369999999999</v>
      </c>
      <c r="C36" s="10">
        <v>16.059439999999999</v>
      </c>
      <c r="D36" s="10">
        <v>16.63008</v>
      </c>
      <c r="E36" s="10">
        <v>17.210909999999998</v>
      </c>
      <c r="F36" s="10">
        <v>17.81212</v>
      </c>
      <c r="G36" s="10">
        <v>18.433709999999998</v>
      </c>
      <c r="H36" s="10">
        <v>19.075679999999998</v>
      </c>
      <c r="I36" s="10">
        <v>19.748219999999996</v>
      </c>
      <c r="J36" s="23"/>
      <c r="L36" s="24">
        <f t="shared" si="16"/>
        <v>3.479973736047276E-2</v>
      </c>
      <c r="M36" s="24">
        <f t="shared" si="15"/>
        <v>3.5532994923857926E-2</v>
      </c>
      <c r="N36" s="24">
        <f t="shared" si="15"/>
        <v>3.4926470588235226E-2</v>
      </c>
      <c r="O36" s="24">
        <f t="shared" si="15"/>
        <v>3.4931912374186018E-2</v>
      </c>
      <c r="P36" s="24">
        <f t="shared" si="15"/>
        <v>3.4897025171624581E-2</v>
      </c>
      <c r="Q36" s="24">
        <f t="shared" si="15"/>
        <v>3.4825870646766205E-2</v>
      </c>
      <c r="R36" s="24">
        <f t="shared" si="15"/>
        <v>3.5256410256410152E-2</v>
      </c>
    </row>
    <row r="37" spans="1:18" x14ac:dyDescent="0.25">
      <c r="A37" s="14">
        <v>4</v>
      </c>
      <c r="B37" s="15">
        <v>17.689839999999997</v>
      </c>
      <c r="C37" s="15">
        <v>18.311429999999998</v>
      </c>
      <c r="D37" s="15">
        <v>18.953399999999998</v>
      </c>
      <c r="E37" s="15">
        <v>19.615749999999998</v>
      </c>
      <c r="F37" s="15">
        <v>20.308669999999999</v>
      </c>
      <c r="G37" s="15">
        <v>21.011779999999998</v>
      </c>
      <c r="H37" s="15">
        <v>21.745459999999998</v>
      </c>
      <c r="I37" s="15">
        <v>22.509709999999998</v>
      </c>
      <c r="J37" s="23"/>
      <c r="L37" s="24">
        <f t="shared" si="16"/>
        <v>3.5138248847926344E-2</v>
      </c>
      <c r="M37" s="24">
        <f t="shared" si="15"/>
        <v>3.5058430717863139E-2</v>
      </c>
      <c r="N37" s="24">
        <f t="shared" si="15"/>
        <v>3.4946236559139789E-2</v>
      </c>
      <c r="O37" s="24">
        <f t="shared" si="15"/>
        <v>3.532467532467537E-2</v>
      </c>
      <c r="P37" s="24">
        <f t="shared" si="15"/>
        <v>3.4621174109382778E-2</v>
      </c>
      <c r="Q37" s="24">
        <f t="shared" si="15"/>
        <v>3.4917555771096009E-2</v>
      </c>
      <c r="R37" s="24">
        <f t="shared" si="15"/>
        <v>3.5145267104030022E-2</v>
      </c>
    </row>
    <row r="38" spans="1:18" x14ac:dyDescent="0.25">
      <c r="A38" s="9">
        <v>5</v>
      </c>
      <c r="B38" s="10">
        <v>20.166009999999996</v>
      </c>
      <c r="C38" s="10">
        <v>20.879309999999997</v>
      </c>
      <c r="D38" s="10">
        <v>21.602799999999998</v>
      </c>
      <c r="E38" s="10">
        <v>22.367049999999995</v>
      </c>
      <c r="F38" s="10">
        <v>23.141489999999997</v>
      </c>
      <c r="G38" s="10">
        <v>23.956689999999998</v>
      </c>
      <c r="H38" s="10">
        <v>24.792269999999995</v>
      </c>
      <c r="I38" s="10">
        <v>25.658419999999996</v>
      </c>
      <c r="J38" s="23"/>
      <c r="L38" s="24">
        <f t="shared" si="16"/>
        <v>3.5371399696816595E-2</v>
      </c>
      <c r="M38" s="24">
        <f t="shared" si="15"/>
        <v>3.4651049292337817E-2</v>
      </c>
      <c r="N38" s="24">
        <f t="shared" si="15"/>
        <v>3.5377358490565898E-2</v>
      </c>
      <c r="O38" s="24">
        <f t="shared" si="15"/>
        <v>3.4624145785877088E-2</v>
      </c>
      <c r="P38" s="24">
        <f t="shared" si="15"/>
        <v>3.5226772346983744E-2</v>
      </c>
      <c r="Q38" s="24">
        <f t="shared" si="15"/>
        <v>3.487877498936609E-2</v>
      </c>
      <c r="R38" s="24">
        <f t="shared" si="15"/>
        <v>3.4936292642827833E-2</v>
      </c>
    </row>
    <row r="39" spans="1:18" x14ac:dyDescent="0.25">
      <c r="A39" s="14">
        <v>6</v>
      </c>
      <c r="B39" s="15">
        <v>22.998829999999998</v>
      </c>
      <c r="C39" s="15">
        <v>23.803839999999997</v>
      </c>
      <c r="D39" s="15">
        <v>24.62923</v>
      </c>
      <c r="E39" s="15">
        <v>25.495379999999997</v>
      </c>
      <c r="F39" s="15">
        <v>26.381909999999998</v>
      </c>
      <c r="G39" s="15">
        <v>27.309199999999997</v>
      </c>
      <c r="H39" s="15">
        <v>28.267059999999997</v>
      </c>
      <c r="I39" s="15">
        <v>29.255489999999998</v>
      </c>
      <c r="J39" s="23"/>
      <c r="L39" s="24">
        <f t="shared" si="16"/>
        <v>3.5002215330084158E-2</v>
      </c>
      <c r="M39" s="24">
        <f t="shared" si="15"/>
        <v>3.4674657534246672E-2</v>
      </c>
      <c r="N39" s="24">
        <f t="shared" si="15"/>
        <v>3.5167563094745453E-2</v>
      </c>
      <c r="O39" s="24">
        <f t="shared" si="15"/>
        <v>3.4772182254196662E-2</v>
      </c>
      <c r="P39" s="24">
        <f t="shared" si="15"/>
        <v>3.5148706064117394E-2</v>
      </c>
      <c r="Q39" s="24">
        <f t="shared" si="15"/>
        <v>3.507462686567165E-2</v>
      </c>
      <c r="R39" s="24">
        <f t="shared" si="15"/>
        <v>3.4967555875991388E-2</v>
      </c>
    </row>
    <row r="40" spans="1:18" x14ac:dyDescent="0.25">
      <c r="A40" s="9">
        <v>7</v>
      </c>
      <c r="B40" s="10">
        <v>25.525949999999998</v>
      </c>
      <c r="C40" s="10">
        <v>26.412479999999999</v>
      </c>
      <c r="D40" s="10">
        <v>27.339769999999994</v>
      </c>
      <c r="E40" s="10">
        <v>28.297629999999998</v>
      </c>
      <c r="F40" s="10">
        <v>29.286059999999996</v>
      </c>
      <c r="G40" s="10">
        <v>30.315249999999999</v>
      </c>
      <c r="H40" s="10">
        <v>31.375009999999996</v>
      </c>
      <c r="I40" s="10">
        <v>32.475529999999999</v>
      </c>
      <c r="J40" s="23"/>
      <c r="L40" s="24">
        <f t="shared" si="16"/>
        <v>3.4730538922155711E-2</v>
      </c>
      <c r="M40" s="24">
        <f t="shared" si="15"/>
        <v>3.5108024691357861E-2</v>
      </c>
      <c r="N40" s="24">
        <f t="shared" si="15"/>
        <v>3.5035408125233092E-2</v>
      </c>
      <c r="O40" s="24">
        <f t="shared" si="15"/>
        <v>3.4929780338494691E-2</v>
      </c>
      <c r="P40" s="24">
        <f t="shared" si="15"/>
        <v>3.5142658315936097E-2</v>
      </c>
      <c r="Q40" s="24">
        <f t="shared" si="15"/>
        <v>3.4957983193277219E-2</v>
      </c>
      <c r="R40" s="24">
        <f t="shared" si="15"/>
        <v>3.507632348164999E-2</v>
      </c>
    </row>
    <row r="41" spans="1:18" x14ac:dyDescent="0.25">
      <c r="A41" s="14">
        <v>8</v>
      </c>
      <c r="B41" s="15">
        <v>28.328199999999999</v>
      </c>
      <c r="C41" s="15">
        <v>29.326819999999998</v>
      </c>
      <c r="D41" s="15">
        <v>30.34582</v>
      </c>
      <c r="E41" s="15">
        <v>31.415769999999995</v>
      </c>
      <c r="F41" s="15">
        <v>32.516289999999998</v>
      </c>
      <c r="G41" s="15">
        <v>33.647379999999998</v>
      </c>
      <c r="H41" s="15">
        <v>34.829419999999999</v>
      </c>
      <c r="I41" s="15">
        <v>36.042029999999997</v>
      </c>
      <c r="J41" s="23"/>
      <c r="L41" s="24">
        <f t="shared" si="16"/>
        <v>3.5251798561151043E-2</v>
      </c>
      <c r="M41" s="24">
        <f t="shared" si="15"/>
        <v>3.4746351633078591E-2</v>
      </c>
      <c r="N41" s="24">
        <f t="shared" si="15"/>
        <v>3.5258562793821197E-2</v>
      </c>
      <c r="O41" s="24">
        <f t="shared" si="15"/>
        <v>3.5030814142069516E-2</v>
      </c>
      <c r="P41" s="24">
        <f t="shared" si="15"/>
        <v>3.4785333751175193E-2</v>
      </c>
      <c r="Q41" s="24">
        <f t="shared" si="15"/>
        <v>3.5130224106602083E-2</v>
      </c>
      <c r="R41" s="24">
        <f t="shared" si="15"/>
        <v>3.4815681685195964E-2</v>
      </c>
    </row>
    <row r="42" spans="1:18" x14ac:dyDescent="0.25">
      <c r="A42" s="9">
        <v>9</v>
      </c>
      <c r="B42" s="10">
        <v>31.446339999999996</v>
      </c>
      <c r="C42" s="10">
        <v>32.546859999999995</v>
      </c>
      <c r="D42" s="10">
        <v>33.688139999999997</v>
      </c>
      <c r="E42" s="10">
        <v>34.870179999999998</v>
      </c>
      <c r="F42" s="10">
        <v>36.082789999999996</v>
      </c>
      <c r="G42" s="10">
        <v>37.346349999999994</v>
      </c>
      <c r="H42" s="10">
        <v>38.660859999999992</v>
      </c>
      <c r="I42" s="10">
        <v>40.005939999999995</v>
      </c>
      <c r="J42" s="23"/>
      <c r="L42" s="24">
        <f t="shared" si="16"/>
        <v>3.4996759559300053E-2</v>
      </c>
      <c r="M42" s="24">
        <f t="shared" si="15"/>
        <v>3.506574827802135E-2</v>
      </c>
      <c r="N42" s="24">
        <f t="shared" si="15"/>
        <v>3.5087719298245633E-2</v>
      </c>
      <c r="O42" s="24">
        <f t="shared" si="15"/>
        <v>3.4774985388661549E-2</v>
      </c>
      <c r="P42" s="24">
        <f t="shared" si="15"/>
        <v>3.501835639649812E-2</v>
      </c>
      <c r="Q42" s="24">
        <f t="shared" si="15"/>
        <v>3.5197817189631615E-2</v>
      </c>
      <c r="R42" s="24">
        <f t="shared" si="15"/>
        <v>3.4791776489193543E-2</v>
      </c>
    </row>
    <row r="43" spans="1:18" x14ac:dyDescent="0.25">
      <c r="A43" s="14">
        <v>10</v>
      </c>
      <c r="B43" s="15">
        <v>34.910939999999997</v>
      </c>
      <c r="C43" s="15">
        <v>36.133739999999996</v>
      </c>
      <c r="D43" s="15">
        <v>37.397300000000001</v>
      </c>
      <c r="E43" s="15">
        <v>38.701619999999991</v>
      </c>
      <c r="F43" s="15">
        <v>40.056889999999996</v>
      </c>
      <c r="G43" s="15">
        <v>41.463109999999993</v>
      </c>
      <c r="H43" s="15">
        <v>42.910089999999997</v>
      </c>
      <c r="I43" s="15">
        <v>44.408019999999993</v>
      </c>
      <c r="J43" s="23"/>
      <c r="L43" s="24">
        <f t="shared" si="16"/>
        <v>3.5026269702276694E-2</v>
      </c>
      <c r="M43" s="24">
        <f t="shared" si="15"/>
        <v>3.4968979131415834E-2</v>
      </c>
      <c r="N43" s="24">
        <f t="shared" si="15"/>
        <v>3.4877384196185017E-2</v>
      </c>
      <c r="O43" s="24">
        <f t="shared" si="15"/>
        <v>3.5018430753028032E-2</v>
      </c>
      <c r="P43" s="24">
        <f t="shared" si="15"/>
        <v>3.5105571101500831E-2</v>
      </c>
      <c r="Q43" s="24">
        <f t="shared" si="15"/>
        <v>3.4898009338903996E-2</v>
      </c>
      <c r="R43" s="24">
        <f t="shared" si="15"/>
        <v>3.4908572785561552E-2</v>
      </c>
    </row>
    <row r="44" spans="1:18" x14ac:dyDescent="0.25">
      <c r="A44" s="9">
        <v>11</v>
      </c>
      <c r="B44" s="10">
        <v>38.742379999999997</v>
      </c>
      <c r="C44" s="10">
        <v>40.107839999999996</v>
      </c>
      <c r="D44" s="10">
        <v>41.503869999999992</v>
      </c>
      <c r="E44" s="10">
        <v>42.96103999999999</v>
      </c>
      <c r="F44" s="10">
        <v>44.458970000000001</v>
      </c>
      <c r="G44" s="10">
        <v>46.018039999999992</v>
      </c>
      <c r="H44" s="10">
        <v>47.628059999999998</v>
      </c>
      <c r="I44" s="10">
        <v>49.299219999999998</v>
      </c>
      <c r="J44" s="23"/>
      <c r="L44" s="24">
        <f t="shared" si="16"/>
        <v>3.5244608100999449E-2</v>
      </c>
      <c r="M44" s="24">
        <f t="shared" si="15"/>
        <v>3.4806910569105599E-2</v>
      </c>
      <c r="N44" s="24">
        <f t="shared" si="15"/>
        <v>3.5109256076601966E-2</v>
      </c>
      <c r="O44" s="24">
        <f t="shared" si="15"/>
        <v>3.4867172675522085E-2</v>
      </c>
      <c r="P44" s="24">
        <f t="shared" si="15"/>
        <v>3.5067614027045411E-2</v>
      </c>
      <c r="Q44" s="24">
        <f t="shared" si="15"/>
        <v>3.4986713906111737E-2</v>
      </c>
      <c r="R44" s="24">
        <f t="shared" si="15"/>
        <v>3.5087719298245626E-2</v>
      </c>
    </row>
    <row r="45" spans="1:18" x14ac:dyDescent="0.25">
      <c r="A45" s="14">
        <v>12</v>
      </c>
      <c r="B45" s="15">
        <v>43.011989999999997</v>
      </c>
      <c r="C45" s="15">
        <v>44.509919999999994</v>
      </c>
      <c r="D45" s="15">
        <v>46.068989999999999</v>
      </c>
      <c r="E45" s="15">
        <v>47.689199999999992</v>
      </c>
      <c r="F45" s="15">
        <v>49.350169999999999</v>
      </c>
      <c r="G45" s="15">
        <v>51.082470000000001</v>
      </c>
      <c r="H45" s="15">
        <v>52.865719999999996</v>
      </c>
      <c r="I45" s="15">
        <v>54.720299999999995</v>
      </c>
      <c r="J45" s="23"/>
      <c r="K45" s="22"/>
      <c r="L45" s="24">
        <f t="shared" si="16"/>
        <v>3.4825870646766094E-2</v>
      </c>
      <c r="M45" s="24">
        <f t="shared" si="15"/>
        <v>3.5027472527472653E-2</v>
      </c>
      <c r="N45" s="24">
        <f t="shared" si="15"/>
        <v>3.5169210351691953E-2</v>
      </c>
      <c r="O45" s="24">
        <f t="shared" si="15"/>
        <v>3.4829059829059962E-2</v>
      </c>
      <c r="P45" s="24">
        <f t="shared" si="15"/>
        <v>3.5102209374354786E-2</v>
      </c>
      <c r="Q45" s="24">
        <f t="shared" si="15"/>
        <v>3.4909235986435173E-2</v>
      </c>
      <c r="R45" s="24">
        <f t="shared" si="15"/>
        <v>3.5080956052428655E-2</v>
      </c>
    </row>
    <row r="47" spans="1:18" x14ac:dyDescent="0.25">
      <c r="D47" s="22"/>
      <c r="E47" s="23"/>
      <c r="F47" s="25"/>
    </row>
    <row r="125" spans="4:6" x14ac:dyDescent="0.25">
      <c r="D125" s="1" t="s">
        <v>1511</v>
      </c>
      <c r="E125" s="1">
        <v>30.35</v>
      </c>
      <c r="F125" s="1">
        <v>25</v>
      </c>
    </row>
  </sheetData>
  <mergeCells count="4">
    <mergeCell ref="A1:I1"/>
    <mergeCell ref="A2:I2"/>
    <mergeCell ref="A3:I3"/>
    <mergeCell ref="B33:J33"/>
  </mergeCells>
  <printOptions horizontalCentered="1"/>
  <pageMargins left="0.75" right="0.75" top="1" bottom="1" header="0.5" footer="0.5"/>
  <pageSetup scale="61" orientation="landscape" copies="15" r:id="rId1"/>
  <headerFooter alignWithMargins="0">
    <oddHeader>&amp;C&amp;"-,Bold"Proposed Budget &amp; Analysis Report for FY20</oddHeader>
    <oddFooter>&amp;C&amp;D&amp;T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3:AQ379"/>
  <sheetViews>
    <sheetView zoomScaleNormal="100" zoomScaleSheetLayoutView="100" workbookViewId="0"/>
  </sheetViews>
  <sheetFormatPr defaultRowHeight="13.5" x14ac:dyDescent="0.25"/>
  <cols>
    <col min="1" max="1" width="19" style="161" bestFit="1" customWidth="1"/>
    <col min="2" max="2" width="5" style="161" customWidth="1"/>
    <col min="3" max="3" width="39.28515625" style="161" customWidth="1"/>
    <col min="4" max="4" width="13.28515625" style="211" hidden="1" customWidth="1"/>
    <col min="5" max="5" width="11.42578125" style="211" hidden="1" customWidth="1"/>
    <col min="6" max="6" width="8.28515625" style="211" hidden="1" customWidth="1"/>
    <col min="7" max="7" width="2.140625" style="213" hidden="1" customWidth="1"/>
    <col min="8" max="8" width="13.28515625" style="211" hidden="1" customWidth="1"/>
    <col min="9" max="9" width="11.42578125" style="211" hidden="1" customWidth="1"/>
    <col min="10" max="10" width="8.28515625" style="211" hidden="1" customWidth="1"/>
    <col min="11" max="11" width="2.140625" style="213" hidden="1" customWidth="1"/>
    <col min="12" max="12" width="13.28515625" style="211" hidden="1" customWidth="1"/>
    <col min="13" max="13" width="11.42578125" style="211" hidden="1" customWidth="1"/>
    <col min="14" max="14" width="8.28515625" style="211" hidden="1" customWidth="1"/>
    <col min="15" max="15" width="2.140625" style="213" hidden="1" customWidth="1"/>
    <col min="16" max="16" width="13.28515625" style="211" hidden="1" customWidth="1"/>
    <col min="17" max="17" width="11.42578125" style="211" hidden="1" customWidth="1"/>
    <col min="18" max="18" width="8.28515625" style="211" hidden="1" customWidth="1"/>
    <col min="19" max="19" width="2.140625" style="213" hidden="1" customWidth="1"/>
    <col min="20" max="20" width="13.28515625" style="161" hidden="1" customWidth="1"/>
    <col min="21" max="21" width="11.42578125" style="161" hidden="1" customWidth="1"/>
    <col min="22" max="22" width="8.28515625" style="161" hidden="1" customWidth="1"/>
    <col min="23" max="23" width="2.140625" style="103" hidden="1" customWidth="1"/>
    <col min="24" max="25" width="11.5703125" style="161" hidden="1" customWidth="1"/>
    <col min="26" max="26" width="8.5703125" style="161" hidden="1" customWidth="1"/>
    <col min="27" max="27" width="2.140625" style="103" hidden="1" customWidth="1"/>
    <col min="28" max="29" width="11.5703125" style="161" customWidth="1"/>
    <col min="30" max="30" width="9.28515625" style="161" bestFit="1" customWidth="1"/>
    <col min="31" max="31" width="2.140625" style="213" customWidth="1"/>
    <col min="32" max="32" width="11.5703125" style="211" hidden="1" customWidth="1"/>
    <col min="33" max="34" width="11.5703125" style="211" customWidth="1"/>
    <col min="35" max="35" width="9.28515625" style="211" bestFit="1" customWidth="1"/>
    <col min="36" max="36" width="1.85546875" style="161" customWidth="1"/>
    <col min="37" max="38" width="11.5703125" style="394" customWidth="1"/>
    <col min="39" max="39" width="9.28515625" style="394" bestFit="1" customWidth="1"/>
    <col min="40" max="40" width="13.5703125" style="104" customWidth="1"/>
    <col min="41" max="41" width="12.28515625" style="104" bestFit="1" customWidth="1"/>
    <col min="42" max="42" width="12.85546875" style="161" bestFit="1" customWidth="1"/>
    <col min="43" max="43" width="21.85546875" style="161" customWidth="1"/>
    <col min="44" max="16384" width="9.140625" style="161"/>
  </cols>
  <sheetData>
    <row r="3" spans="1:43" s="111" customFormat="1" ht="12.75" x14ac:dyDescent="0.2">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805" t="s">
        <v>1593</v>
      </c>
      <c r="AO3" s="805"/>
      <c r="AP3" s="805"/>
      <c r="AQ3" s="805"/>
    </row>
    <row r="4" spans="1:43" ht="27" x14ac:dyDescent="0.25">
      <c r="A4" s="812" t="s">
        <v>1996</v>
      </c>
      <c r="B4" s="812"/>
      <c r="C4" s="811"/>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1369</v>
      </c>
      <c r="AL4" s="439" t="s">
        <v>1714</v>
      </c>
      <c r="AM4" s="106" t="s">
        <v>273</v>
      </c>
      <c r="AN4" s="107" t="s">
        <v>274</v>
      </c>
      <c r="AO4" s="108" t="s">
        <v>107</v>
      </c>
      <c r="AP4" s="109" t="s">
        <v>28</v>
      </c>
      <c r="AQ4" s="110" t="s">
        <v>275</v>
      </c>
    </row>
    <row r="5" spans="1:43" s="211" customFormat="1" x14ac:dyDescent="0.25">
      <c r="A5" s="111" t="s">
        <v>272</v>
      </c>
      <c r="C5" s="111" t="s">
        <v>276</v>
      </c>
      <c r="G5" s="213"/>
      <c r="K5" s="213"/>
      <c r="O5" s="213"/>
      <c r="S5" s="213"/>
      <c r="W5" s="213"/>
      <c r="AA5" s="213"/>
      <c r="AE5" s="213"/>
      <c r="AK5" s="394"/>
      <c r="AL5" s="394"/>
      <c r="AM5" s="394"/>
      <c r="AN5" s="213"/>
      <c r="AO5" s="213"/>
      <c r="AQ5" s="111"/>
    </row>
    <row r="6" spans="1:43" s="211" customFormat="1" x14ac:dyDescent="0.25">
      <c r="D6" s="112"/>
      <c r="E6" s="112"/>
      <c r="F6" s="216"/>
      <c r="G6" s="213"/>
      <c r="H6" s="112"/>
      <c r="I6" s="112"/>
      <c r="J6" s="216"/>
      <c r="K6" s="213"/>
      <c r="L6" s="112"/>
      <c r="M6" s="112"/>
      <c r="N6" s="216"/>
      <c r="O6" s="213"/>
      <c r="P6" s="112"/>
      <c r="Q6" s="112"/>
      <c r="R6" s="216"/>
      <c r="S6" s="213"/>
      <c r="T6" s="112"/>
      <c r="U6" s="112"/>
      <c r="V6" s="216"/>
      <c r="W6" s="213"/>
      <c r="X6" s="112"/>
      <c r="Y6" s="112"/>
      <c r="Z6" s="216"/>
      <c r="AA6" s="213"/>
      <c r="AB6" s="112"/>
      <c r="AC6" s="112"/>
      <c r="AD6" s="216"/>
      <c r="AE6" s="213"/>
      <c r="AF6" s="212"/>
      <c r="AG6" s="212"/>
      <c r="AH6" s="112"/>
      <c r="AI6" s="216"/>
      <c r="AJ6" s="216"/>
      <c r="AK6" s="399"/>
      <c r="AL6" s="112"/>
      <c r="AM6" s="396"/>
      <c r="AN6" s="212">
        <v>0</v>
      </c>
      <c r="AO6" s="212">
        <f>AN6-T6</f>
        <v>0</v>
      </c>
      <c r="AP6" s="216"/>
    </row>
    <row r="7" spans="1:43" s="114" customFormat="1" x14ac:dyDescent="0.25">
      <c r="A7" s="224"/>
      <c r="B7" s="224"/>
      <c r="C7" s="224" t="s">
        <v>26</v>
      </c>
      <c r="D7" s="225">
        <v>0</v>
      </c>
      <c r="E7" s="225">
        <v>0</v>
      </c>
      <c r="F7" s="226"/>
      <c r="G7" s="224"/>
      <c r="H7" s="225">
        <v>0</v>
      </c>
      <c r="I7" s="225">
        <v>0</v>
      </c>
      <c r="J7" s="226"/>
      <c r="K7" s="224"/>
      <c r="L7" s="225">
        <v>0</v>
      </c>
      <c r="M7" s="225">
        <v>0</v>
      </c>
      <c r="N7" s="226"/>
      <c r="O7" s="224"/>
      <c r="P7" s="225">
        <v>0</v>
      </c>
      <c r="Q7" s="225">
        <v>0</v>
      </c>
      <c r="R7" s="226"/>
      <c r="S7" s="224"/>
      <c r="T7" s="225">
        <v>0</v>
      </c>
      <c r="U7" s="225">
        <v>0</v>
      </c>
      <c r="V7" s="226"/>
      <c r="W7" s="224"/>
      <c r="X7" s="225">
        <v>0</v>
      </c>
      <c r="Y7" s="225">
        <v>0</v>
      </c>
      <c r="Z7" s="226"/>
      <c r="AA7" s="224"/>
      <c r="AB7" s="225">
        <v>0</v>
      </c>
      <c r="AC7" s="225">
        <v>0</v>
      </c>
      <c r="AD7" s="226"/>
      <c r="AE7" s="224"/>
      <c r="AF7" s="227">
        <f>SUM(AF6)</f>
        <v>0</v>
      </c>
      <c r="AG7" s="227">
        <f>SUM(AG6)</f>
        <v>0</v>
      </c>
      <c r="AH7" s="225">
        <f>SUM(AH6)</f>
        <v>0</v>
      </c>
      <c r="AI7" s="226"/>
      <c r="AJ7" s="226"/>
      <c r="AK7" s="227">
        <f>SUM(AK6)</f>
        <v>0</v>
      </c>
      <c r="AL7" s="225">
        <f>SUM(AL6)</f>
        <v>0</v>
      </c>
      <c r="AM7" s="226"/>
      <c r="AN7" s="227">
        <f>SUM(AN6)</f>
        <v>0</v>
      </c>
      <c r="AO7" s="225">
        <f>AN7-T7</f>
        <v>0</v>
      </c>
      <c r="AP7" s="226"/>
      <c r="AQ7" s="224"/>
    </row>
    <row r="8" spans="1:43" x14ac:dyDescent="0.25">
      <c r="D8" s="112"/>
      <c r="E8" s="112"/>
      <c r="F8" s="112"/>
      <c r="H8" s="112"/>
      <c r="I8" s="112"/>
      <c r="J8" s="112"/>
      <c r="L8" s="112"/>
      <c r="M8" s="112"/>
      <c r="N8" s="112"/>
      <c r="P8" s="112"/>
      <c r="Q8" s="112"/>
      <c r="R8" s="112"/>
      <c r="T8" s="112"/>
      <c r="U8" s="112"/>
      <c r="V8" s="112"/>
      <c r="X8" s="112"/>
      <c r="Y8" s="112"/>
      <c r="Z8" s="80"/>
      <c r="AB8" s="112"/>
      <c r="AC8" s="112"/>
      <c r="AD8" s="80"/>
      <c r="AF8" s="212"/>
      <c r="AG8" s="212"/>
      <c r="AH8" s="112"/>
      <c r="AI8" s="216"/>
      <c r="AJ8" s="80"/>
      <c r="AK8" s="399"/>
      <c r="AL8" s="112"/>
      <c r="AM8" s="396"/>
      <c r="AO8" s="154"/>
      <c r="AP8" s="80"/>
    </row>
    <row r="9" spans="1:43" x14ac:dyDescent="0.25">
      <c r="C9" s="111" t="s">
        <v>277</v>
      </c>
      <c r="D9" s="112"/>
      <c r="E9" s="112"/>
      <c r="F9" s="112"/>
      <c r="H9" s="112"/>
      <c r="I9" s="112"/>
      <c r="J9" s="112"/>
      <c r="L9" s="112"/>
      <c r="M9" s="112"/>
      <c r="N9" s="112"/>
      <c r="P9" s="112"/>
      <c r="Q9" s="112"/>
      <c r="R9" s="112"/>
      <c r="T9" s="112"/>
      <c r="U9" s="112"/>
      <c r="V9" s="112"/>
      <c r="X9" s="112"/>
      <c r="Y9" s="112"/>
      <c r="Z9" s="80"/>
      <c r="AB9" s="112"/>
      <c r="AC9" s="112"/>
      <c r="AD9" s="80"/>
      <c r="AF9" s="212"/>
      <c r="AG9" s="212"/>
      <c r="AH9" s="112"/>
      <c r="AI9" s="216"/>
      <c r="AJ9" s="80"/>
      <c r="AK9" s="399"/>
      <c r="AL9" s="112"/>
      <c r="AM9" s="396"/>
      <c r="AP9" s="80"/>
      <c r="AQ9" s="111"/>
    </row>
    <row r="10" spans="1:43" x14ac:dyDescent="0.25">
      <c r="A10" s="161" t="s">
        <v>832</v>
      </c>
      <c r="B10" s="119" t="str">
        <f t="shared" ref="B10:B19" si="0">MID(A10,14,4)</f>
        <v>5909</v>
      </c>
      <c r="C10" s="161" t="s">
        <v>1726</v>
      </c>
      <c r="D10" s="112">
        <v>75600</v>
      </c>
      <c r="E10" s="112">
        <v>49637.5</v>
      </c>
      <c r="F10" s="216"/>
      <c r="H10" s="112">
        <v>37100</v>
      </c>
      <c r="I10" s="112">
        <v>37100</v>
      </c>
      <c r="J10" s="216"/>
      <c r="L10" s="112">
        <v>33450</v>
      </c>
      <c r="M10" s="112">
        <v>33450</v>
      </c>
      <c r="N10" s="216"/>
      <c r="P10" s="112">
        <v>29900</v>
      </c>
      <c r="Q10" s="112">
        <v>29900</v>
      </c>
      <c r="R10" s="216"/>
      <c r="T10" s="112">
        <v>24750</v>
      </c>
      <c r="U10" s="112">
        <v>24750</v>
      </c>
      <c r="V10" s="216"/>
      <c r="W10" s="213"/>
      <c r="X10" s="112">
        <v>17950</v>
      </c>
      <c r="Y10" s="112">
        <v>17950</v>
      </c>
      <c r="Z10" s="216"/>
      <c r="AA10" s="213"/>
      <c r="AB10" s="112">
        <v>11150</v>
      </c>
      <c r="AC10" s="112">
        <v>11150</v>
      </c>
      <c r="AD10" s="216"/>
      <c r="AF10" s="163">
        <v>5687.5</v>
      </c>
      <c r="AG10" s="163">
        <v>5687.5</v>
      </c>
      <c r="AH10" s="112">
        <v>5687.5</v>
      </c>
      <c r="AI10" s="216">
        <f>(AG10-AB10)/AB10</f>
        <v>-0.48991031390134532</v>
      </c>
      <c r="AJ10" s="80"/>
      <c r="AK10" s="163">
        <v>1812.5</v>
      </c>
      <c r="AL10" s="112">
        <v>1812.5</v>
      </c>
      <c r="AM10" s="396">
        <f>(AK10-AG10)/AG10</f>
        <v>-0.68131868131868134</v>
      </c>
      <c r="AN10" s="163"/>
      <c r="AO10" s="138">
        <f>AN10-AK10</f>
        <v>-1812.5</v>
      </c>
      <c r="AP10" s="396">
        <f>(AN10-AK10)/AK10</f>
        <v>-1</v>
      </c>
      <c r="AQ10" s="166"/>
    </row>
    <row r="11" spans="1:43" x14ac:dyDescent="0.25">
      <c r="A11" s="161" t="s">
        <v>833</v>
      </c>
      <c r="B11" s="119" t="str">
        <f t="shared" si="0"/>
        <v>5910</v>
      </c>
      <c r="C11" s="161" t="s">
        <v>1727</v>
      </c>
      <c r="D11" s="112">
        <v>-75600</v>
      </c>
      <c r="E11" s="112">
        <v>-49637.5</v>
      </c>
      <c r="F11" s="216"/>
      <c r="H11" s="112">
        <v>-37100</v>
      </c>
      <c r="I11" s="112">
        <v>-37100</v>
      </c>
      <c r="J11" s="216"/>
      <c r="L11" s="112">
        <v>-33450</v>
      </c>
      <c r="M11" s="112">
        <v>-33450</v>
      </c>
      <c r="N11" s="216"/>
      <c r="P11" s="112">
        <v>-29900</v>
      </c>
      <c r="Q11" s="112">
        <v>-29900</v>
      </c>
      <c r="R11" s="216"/>
      <c r="T11" s="112">
        <v>-24750</v>
      </c>
      <c r="U11" s="112">
        <v>-24750</v>
      </c>
      <c r="V11" s="216"/>
      <c r="W11" s="213"/>
      <c r="X11" s="112">
        <v>-17950</v>
      </c>
      <c r="Y11" s="112">
        <v>-17950</v>
      </c>
      <c r="Z11" s="216"/>
      <c r="AA11" s="213"/>
      <c r="AB11" s="112">
        <v>-11150</v>
      </c>
      <c r="AC11" s="112">
        <v>-11150</v>
      </c>
      <c r="AD11" s="216"/>
      <c r="AF11" s="112">
        <v>-5687.5</v>
      </c>
      <c r="AG11" s="112">
        <v>-5687.5</v>
      </c>
      <c r="AH11" s="112">
        <v>-5687.5</v>
      </c>
      <c r="AI11" s="216">
        <f t="shared" ref="AI11:AI22" si="1">(AG11-AB11)/AB11</f>
        <v>-0.48991031390134532</v>
      </c>
      <c r="AJ11" s="80"/>
      <c r="AK11" s="112">
        <v>-1812.5</v>
      </c>
      <c r="AL11" s="112">
        <v>-1812.5</v>
      </c>
      <c r="AM11" s="396">
        <f t="shared" ref="AM11:AM22" si="2">(AK11-AG11)/AG11</f>
        <v>-0.68131868131868134</v>
      </c>
      <c r="AN11" s="163"/>
      <c r="AO11" s="218">
        <f t="shared" ref="AO11:AO19" si="3">AN11-AK11</f>
        <v>1812.5</v>
      </c>
      <c r="AP11" s="396">
        <f t="shared" ref="AP11:AP22" si="4">(AN11-AK11)/AK11</f>
        <v>-1</v>
      </c>
      <c r="AQ11" s="166"/>
    </row>
    <row r="12" spans="1:43" x14ac:dyDescent="0.25">
      <c r="A12" s="161" t="s">
        <v>834</v>
      </c>
      <c r="B12" s="119" t="str">
        <f t="shared" si="0"/>
        <v>5913</v>
      </c>
      <c r="C12" s="248" t="s">
        <v>1728</v>
      </c>
      <c r="D12" s="112">
        <v>4799</v>
      </c>
      <c r="E12" s="112">
        <v>4798.75</v>
      </c>
      <c r="F12" s="216"/>
      <c r="H12" s="112">
        <v>4461</v>
      </c>
      <c r="I12" s="112">
        <v>4461.25</v>
      </c>
      <c r="J12" s="216"/>
      <c r="L12" s="112">
        <v>4117.5</v>
      </c>
      <c r="M12" s="112">
        <v>4117.51</v>
      </c>
      <c r="N12" s="216"/>
      <c r="P12" s="112">
        <v>3761.25</v>
      </c>
      <c r="Q12" s="112">
        <v>3761.25</v>
      </c>
      <c r="R12" s="216"/>
      <c r="T12" s="112">
        <v>3392.5</v>
      </c>
      <c r="U12" s="112">
        <v>2858.33</v>
      </c>
      <c r="V12" s="216"/>
      <c r="W12" s="213"/>
      <c r="X12" s="112">
        <v>1908.62</v>
      </c>
      <c r="Y12" s="112">
        <v>1908.62</v>
      </c>
      <c r="Z12" s="216"/>
      <c r="AA12" s="213"/>
      <c r="AB12" s="112">
        <v>1281.3499999999999</v>
      </c>
      <c r="AC12" s="112">
        <v>1281.3499999999999</v>
      </c>
      <c r="AD12" s="449"/>
      <c r="AE12" s="449"/>
      <c r="AF12" s="112">
        <v>1074.08</v>
      </c>
      <c r="AG12" s="112">
        <v>1074.08</v>
      </c>
      <c r="AH12" s="112">
        <v>1074.08</v>
      </c>
      <c r="AI12" s="216">
        <f t="shared" si="1"/>
        <v>-0.16175908221797322</v>
      </c>
      <c r="AJ12" s="80"/>
      <c r="AK12" s="112">
        <v>870.38</v>
      </c>
      <c r="AL12" s="112">
        <v>485.19</v>
      </c>
      <c r="AM12" s="396">
        <f t="shared" si="2"/>
        <v>-0.18965067778936387</v>
      </c>
      <c r="AN12" s="163">
        <v>670.38</v>
      </c>
      <c r="AO12" s="218">
        <f t="shared" si="3"/>
        <v>-200</v>
      </c>
      <c r="AP12" s="396">
        <f t="shared" si="4"/>
        <v>-0.22978469174383603</v>
      </c>
      <c r="AQ12" s="166"/>
    </row>
    <row r="13" spans="1:43" x14ac:dyDescent="0.25">
      <c r="A13" s="161" t="s">
        <v>835</v>
      </c>
      <c r="B13" s="119" t="str">
        <f t="shared" si="0"/>
        <v>5915</v>
      </c>
      <c r="C13" s="248" t="s">
        <v>1729</v>
      </c>
      <c r="D13" s="112">
        <v>21595</v>
      </c>
      <c r="E13" s="112">
        <v>21594.38</v>
      </c>
      <c r="F13" s="216"/>
      <c r="H13" s="112">
        <v>20076</v>
      </c>
      <c r="I13" s="112">
        <v>20075.63</v>
      </c>
      <c r="J13" s="216"/>
      <c r="L13" s="112">
        <v>18528.75</v>
      </c>
      <c r="M13" s="112">
        <v>18528.75</v>
      </c>
      <c r="N13" s="216"/>
      <c r="P13" s="112">
        <v>16925.63</v>
      </c>
      <c r="Q13" s="112">
        <v>16925.62</v>
      </c>
      <c r="R13" s="216"/>
      <c r="T13" s="112">
        <v>15266.25</v>
      </c>
      <c r="U13" s="112">
        <v>12862.5</v>
      </c>
      <c r="V13" s="216"/>
      <c r="W13" s="213"/>
      <c r="X13" s="112">
        <v>8588.7900000000009</v>
      </c>
      <c r="Y13" s="112">
        <v>8588.7900000000009</v>
      </c>
      <c r="Z13" s="216"/>
      <c r="AA13" s="213"/>
      <c r="AB13" s="112">
        <v>5766.07</v>
      </c>
      <c r="AC13" s="112">
        <v>5766.07</v>
      </c>
      <c r="AD13" s="216"/>
      <c r="AF13" s="112">
        <v>4833.33</v>
      </c>
      <c r="AG13" s="112">
        <v>4833.33</v>
      </c>
      <c r="AH13" s="112">
        <v>4833.33</v>
      </c>
      <c r="AI13" s="216">
        <f t="shared" si="1"/>
        <v>-0.16176355819474961</v>
      </c>
      <c r="AJ13" s="80"/>
      <c r="AK13" s="112">
        <v>3916.66</v>
      </c>
      <c r="AL13" s="112">
        <v>2183.33</v>
      </c>
      <c r="AM13" s="396">
        <f t="shared" si="2"/>
        <v>-0.18965599286620199</v>
      </c>
      <c r="AN13" s="163">
        <v>3016.66</v>
      </c>
      <c r="AO13" s="218">
        <f t="shared" si="3"/>
        <v>-900</v>
      </c>
      <c r="AP13" s="396">
        <f t="shared" si="4"/>
        <v>-0.22978762517042584</v>
      </c>
      <c r="AQ13" s="400"/>
    </row>
    <row r="14" spans="1:43" x14ac:dyDescent="0.25">
      <c r="A14" s="161" t="s">
        <v>836</v>
      </c>
      <c r="B14" s="119" t="str">
        <f t="shared" si="0"/>
        <v>5916</v>
      </c>
      <c r="C14" s="248" t="s">
        <v>1730</v>
      </c>
      <c r="D14" s="112">
        <v>39574</v>
      </c>
      <c r="E14" s="112">
        <v>39574.39</v>
      </c>
      <c r="F14" s="216"/>
      <c r="H14" s="112">
        <v>36706</v>
      </c>
      <c r="I14" s="112">
        <v>36705.61</v>
      </c>
      <c r="J14" s="216"/>
      <c r="L14" s="112">
        <v>33783.75</v>
      </c>
      <c r="M14" s="112">
        <v>33783.760000000002</v>
      </c>
      <c r="N14" s="216"/>
      <c r="P14" s="112">
        <v>30755.62</v>
      </c>
      <c r="Q14" s="112">
        <v>30755.63</v>
      </c>
      <c r="R14" s="216"/>
      <c r="T14" s="112">
        <v>27621.25</v>
      </c>
      <c r="U14" s="112">
        <v>23283.34</v>
      </c>
      <c r="V14" s="216"/>
      <c r="W14" s="213"/>
      <c r="X14" s="112">
        <v>15778.98</v>
      </c>
      <c r="Y14" s="112">
        <v>15478.98</v>
      </c>
      <c r="Z14" s="216"/>
      <c r="AA14" s="213"/>
      <c r="AB14" s="112">
        <v>10302.58</v>
      </c>
      <c r="AC14" s="112">
        <v>10302.58</v>
      </c>
      <c r="AD14" s="216"/>
      <c r="AF14" s="112">
        <v>8592.59</v>
      </c>
      <c r="AG14" s="112">
        <v>8592.59</v>
      </c>
      <c r="AH14" s="112">
        <v>8592.59</v>
      </c>
      <c r="AI14" s="216">
        <f t="shared" si="1"/>
        <v>-0.16597687181269155</v>
      </c>
      <c r="AJ14" s="80"/>
      <c r="AK14" s="112">
        <v>6962.96</v>
      </c>
      <c r="AL14" s="112">
        <v>3881.48</v>
      </c>
      <c r="AM14" s="396">
        <f t="shared" si="2"/>
        <v>-0.18965527274081506</v>
      </c>
      <c r="AN14" s="163">
        <v>5362.96</v>
      </c>
      <c r="AO14" s="218">
        <f t="shared" si="3"/>
        <v>-1600</v>
      </c>
      <c r="AP14" s="396">
        <f t="shared" si="4"/>
        <v>-0.22978733182439651</v>
      </c>
      <c r="AQ14" s="166"/>
    </row>
    <row r="15" spans="1:43" hidden="1" x14ac:dyDescent="0.25">
      <c r="A15" s="161" t="s">
        <v>837</v>
      </c>
      <c r="B15" s="119" t="str">
        <f t="shared" si="0"/>
        <v>5917</v>
      </c>
      <c r="C15" s="161" t="s">
        <v>1731</v>
      </c>
      <c r="D15" s="112">
        <v>4407</v>
      </c>
      <c r="E15" s="112">
        <v>4406.25</v>
      </c>
      <c r="F15" s="216"/>
      <c r="H15" s="112">
        <v>3394</v>
      </c>
      <c r="I15" s="112">
        <v>3393.75</v>
      </c>
      <c r="J15" s="216"/>
      <c r="L15" s="112">
        <v>2362.5</v>
      </c>
      <c r="M15" s="112">
        <v>2362.5</v>
      </c>
      <c r="N15" s="216"/>
      <c r="P15" s="112">
        <v>1293.75</v>
      </c>
      <c r="Q15" s="112">
        <v>1293.75</v>
      </c>
      <c r="R15" s="216"/>
      <c r="T15" s="112">
        <v>375</v>
      </c>
      <c r="U15" s="112">
        <v>375</v>
      </c>
      <c r="V15" s="216"/>
      <c r="W15" s="213"/>
      <c r="X15" s="112">
        <v>0</v>
      </c>
      <c r="Y15" s="112">
        <v>0</v>
      </c>
      <c r="Z15" s="216"/>
      <c r="AA15" s="213"/>
      <c r="AB15" s="112">
        <v>0</v>
      </c>
      <c r="AC15" s="112">
        <v>0</v>
      </c>
      <c r="AD15" s="216"/>
      <c r="AF15" s="112"/>
      <c r="AG15" s="112"/>
      <c r="AH15" s="112"/>
      <c r="AI15" s="216"/>
      <c r="AJ15" s="80"/>
      <c r="AK15" s="112"/>
      <c r="AL15" s="112"/>
      <c r="AM15" s="396" t="e">
        <f t="shared" si="2"/>
        <v>#DIV/0!</v>
      </c>
      <c r="AN15" s="163"/>
      <c r="AO15" s="218">
        <f t="shared" si="3"/>
        <v>0</v>
      </c>
      <c r="AP15" s="396" t="e">
        <f t="shared" si="4"/>
        <v>#DIV/0!</v>
      </c>
      <c r="AQ15" s="166"/>
    </row>
    <row r="16" spans="1:43" hidden="1" x14ac:dyDescent="0.25">
      <c r="A16" s="161" t="s">
        <v>838</v>
      </c>
      <c r="B16" s="119" t="str">
        <f t="shared" si="0"/>
        <v>5918</v>
      </c>
      <c r="C16" s="161" t="s">
        <v>1732</v>
      </c>
      <c r="D16" s="112">
        <v>3984</v>
      </c>
      <c r="E16" s="112">
        <v>3984.36</v>
      </c>
      <c r="F16" s="216"/>
      <c r="H16" s="112">
        <v>3140</v>
      </c>
      <c r="I16" s="112">
        <v>3140.64</v>
      </c>
      <c r="J16" s="216"/>
      <c r="L16" s="112">
        <v>2281.25</v>
      </c>
      <c r="M16" s="112">
        <v>2281.25</v>
      </c>
      <c r="N16" s="216"/>
      <c r="P16" s="112">
        <v>1390.62</v>
      </c>
      <c r="Q16" s="112">
        <v>1390.63</v>
      </c>
      <c r="R16" s="216"/>
      <c r="T16" s="112">
        <v>468.75</v>
      </c>
      <c r="U16" s="112">
        <v>468.75</v>
      </c>
      <c r="V16" s="216"/>
      <c r="W16" s="213"/>
      <c r="X16" s="112">
        <v>0</v>
      </c>
      <c r="Y16" s="112">
        <v>0</v>
      </c>
      <c r="Z16" s="216"/>
      <c r="AA16" s="213"/>
      <c r="AB16" s="112">
        <v>0</v>
      </c>
      <c r="AC16" s="112">
        <v>0</v>
      </c>
      <c r="AD16" s="216"/>
      <c r="AF16" s="112"/>
      <c r="AG16" s="112"/>
      <c r="AH16" s="112"/>
      <c r="AI16" s="216"/>
      <c r="AJ16" s="80"/>
      <c r="AK16" s="112"/>
      <c r="AL16" s="112"/>
      <c r="AM16" s="396" t="e">
        <f t="shared" si="2"/>
        <v>#DIV/0!</v>
      </c>
      <c r="AN16" s="163"/>
      <c r="AO16" s="218">
        <f t="shared" si="3"/>
        <v>0</v>
      </c>
      <c r="AP16" s="396" t="e">
        <f t="shared" si="4"/>
        <v>#DIV/0!</v>
      </c>
      <c r="AQ16" s="166"/>
    </row>
    <row r="17" spans="1:43" x14ac:dyDescent="0.25">
      <c r="A17" s="161" t="s">
        <v>839</v>
      </c>
      <c r="B17" s="119" t="str">
        <f t="shared" si="0"/>
        <v>5920</v>
      </c>
      <c r="C17" s="161" t="s">
        <v>1733</v>
      </c>
      <c r="D17" s="112">
        <v>0</v>
      </c>
      <c r="E17" s="112">
        <v>0</v>
      </c>
      <c r="F17" s="216"/>
      <c r="H17" s="112">
        <v>44000</v>
      </c>
      <c r="I17" s="112">
        <v>44000</v>
      </c>
      <c r="J17" s="216"/>
      <c r="L17" s="112">
        <v>42000</v>
      </c>
      <c r="M17" s="112">
        <v>42000</v>
      </c>
      <c r="N17" s="216"/>
      <c r="P17" s="112">
        <v>40000</v>
      </c>
      <c r="Q17" s="112">
        <v>40000</v>
      </c>
      <c r="R17" s="216"/>
      <c r="T17" s="112">
        <v>37000</v>
      </c>
      <c r="U17" s="112">
        <v>37000</v>
      </c>
      <c r="V17" s="216"/>
      <c r="W17" s="213"/>
      <c r="X17" s="112">
        <v>33000</v>
      </c>
      <c r="Y17" s="112">
        <v>33000</v>
      </c>
      <c r="Z17" s="216"/>
      <c r="AA17" s="213"/>
      <c r="AB17" s="112">
        <v>29000</v>
      </c>
      <c r="AC17" s="112">
        <v>29000</v>
      </c>
      <c r="AD17" s="216"/>
      <c r="AF17" s="112">
        <v>25750</v>
      </c>
      <c r="AG17" s="112">
        <v>25750</v>
      </c>
      <c r="AH17" s="112">
        <v>25750</v>
      </c>
      <c r="AI17" s="216">
        <f t="shared" si="1"/>
        <v>-0.11206896551724138</v>
      </c>
      <c r="AJ17" s="80"/>
      <c r="AK17" s="112">
        <v>23250</v>
      </c>
      <c r="AL17" s="112">
        <v>12250</v>
      </c>
      <c r="AM17" s="396">
        <f t="shared" si="2"/>
        <v>-9.7087378640776698E-2</v>
      </c>
      <c r="AN17" s="163">
        <v>19500</v>
      </c>
      <c r="AO17" s="218">
        <f t="shared" si="3"/>
        <v>-3750</v>
      </c>
      <c r="AP17" s="396">
        <f t="shared" si="4"/>
        <v>-0.16129032258064516</v>
      </c>
      <c r="AQ17" s="166"/>
    </row>
    <row r="18" spans="1:43" s="211" customFormat="1" x14ac:dyDescent="0.25">
      <c r="A18" s="214" t="s">
        <v>1082</v>
      </c>
      <c r="B18" s="214" t="str">
        <f>MID(A18,14,4)</f>
        <v>5922</v>
      </c>
      <c r="C18" s="211" t="s">
        <v>1735</v>
      </c>
      <c r="D18" s="112">
        <v>0</v>
      </c>
      <c r="E18" s="112">
        <v>0</v>
      </c>
      <c r="F18" s="216"/>
      <c r="G18" s="213"/>
      <c r="H18" s="112">
        <v>0</v>
      </c>
      <c r="I18" s="112">
        <v>0</v>
      </c>
      <c r="J18" s="216"/>
      <c r="K18" s="213"/>
      <c r="L18" s="112">
        <v>26000</v>
      </c>
      <c r="M18" s="112">
        <v>26000</v>
      </c>
      <c r="N18" s="216"/>
      <c r="O18" s="213"/>
      <c r="P18" s="112">
        <v>23400</v>
      </c>
      <c r="Q18" s="112">
        <v>23400</v>
      </c>
      <c r="R18" s="216"/>
      <c r="S18" s="213"/>
      <c r="T18" s="112">
        <v>20800</v>
      </c>
      <c r="U18" s="112">
        <v>20800</v>
      </c>
      <c r="V18" s="216"/>
      <c r="W18" s="213"/>
      <c r="X18" s="112">
        <v>18200</v>
      </c>
      <c r="Y18" s="112">
        <v>18200</v>
      </c>
      <c r="Z18" s="216"/>
      <c r="AA18" s="213"/>
      <c r="AB18" s="112">
        <v>15600</v>
      </c>
      <c r="AC18" s="112">
        <v>15600</v>
      </c>
      <c r="AD18" s="216"/>
      <c r="AE18" s="213"/>
      <c r="AF18" s="112">
        <v>13000</v>
      </c>
      <c r="AG18" s="112">
        <v>13000</v>
      </c>
      <c r="AH18" s="112">
        <v>13000</v>
      </c>
      <c r="AI18" s="216">
        <f t="shared" si="1"/>
        <v>-0.16666666666666666</v>
      </c>
      <c r="AJ18" s="216"/>
      <c r="AK18" s="112">
        <v>10400</v>
      </c>
      <c r="AL18" s="112">
        <v>5200</v>
      </c>
      <c r="AM18" s="396">
        <f t="shared" si="2"/>
        <v>-0.2</v>
      </c>
      <c r="AN18" s="163">
        <v>7800</v>
      </c>
      <c r="AO18" s="218">
        <f t="shared" si="3"/>
        <v>-2600</v>
      </c>
      <c r="AP18" s="396">
        <f t="shared" si="4"/>
        <v>-0.25</v>
      </c>
      <c r="AQ18" s="217"/>
    </row>
    <row r="19" spans="1:43" x14ac:dyDescent="0.25">
      <c r="A19" s="214" t="s">
        <v>1079</v>
      </c>
      <c r="B19" s="119" t="str">
        <f t="shared" si="0"/>
        <v>5924</v>
      </c>
      <c r="C19" s="161" t="s">
        <v>1737</v>
      </c>
      <c r="D19" s="112">
        <v>0</v>
      </c>
      <c r="E19" s="112">
        <v>0</v>
      </c>
      <c r="F19" s="216"/>
      <c r="H19" s="112">
        <v>0</v>
      </c>
      <c r="I19" s="112">
        <v>0</v>
      </c>
      <c r="J19" s="216"/>
      <c r="L19" s="112">
        <v>0</v>
      </c>
      <c r="M19" s="112">
        <v>0</v>
      </c>
      <c r="N19" s="216"/>
      <c r="P19" s="112">
        <v>0</v>
      </c>
      <c r="Q19" s="112">
        <v>0</v>
      </c>
      <c r="R19" s="216"/>
      <c r="T19" s="112">
        <v>0</v>
      </c>
      <c r="U19" s="112">
        <v>0</v>
      </c>
      <c r="V19" s="216"/>
      <c r="W19" s="213"/>
      <c r="X19" s="112">
        <v>14417.67</v>
      </c>
      <c r="Y19" s="112">
        <v>14416.67</v>
      </c>
      <c r="Z19" s="216"/>
      <c r="AA19" s="213"/>
      <c r="AB19" s="112">
        <v>9750</v>
      </c>
      <c r="AC19" s="112">
        <v>9750</v>
      </c>
      <c r="AD19" s="216"/>
      <c r="AF19" s="112">
        <v>8250</v>
      </c>
      <c r="AG19" s="112">
        <v>8250</v>
      </c>
      <c r="AH19" s="112">
        <v>8250</v>
      </c>
      <c r="AI19" s="216">
        <f t="shared" si="1"/>
        <v>-0.15384615384615385</v>
      </c>
      <c r="AJ19" s="80"/>
      <c r="AK19" s="112">
        <v>6750</v>
      </c>
      <c r="AL19" s="112">
        <v>3750</v>
      </c>
      <c r="AM19" s="396">
        <f t="shared" si="2"/>
        <v>-0.18181818181818182</v>
      </c>
      <c r="AN19" s="163">
        <v>5250</v>
      </c>
      <c r="AO19" s="218">
        <f t="shared" si="3"/>
        <v>-1500</v>
      </c>
      <c r="AP19" s="396">
        <f t="shared" si="4"/>
        <v>-0.22222222222222221</v>
      </c>
      <c r="AQ19" s="166"/>
    </row>
    <row r="20" spans="1:43" s="114" customFormat="1" x14ac:dyDescent="0.25">
      <c r="A20" s="219"/>
      <c r="B20" s="219"/>
      <c r="C20" s="219" t="s">
        <v>279</v>
      </c>
      <c r="D20" s="220">
        <f>SUM(D10:D19)</f>
        <v>74359</v>
      </c>
      <c r="E20" s="220">
        <f>SUM(E10:E19)</f>
        <v>74358.13</v>
      </c>
      <c r="F20" s="221">
        <v>-8.0000000000000004E-4</v>
      </c>
      <c r="G20" s="219"/>
      <c r="H20" s="220">
        <f>SUM(H10:H19)</f>
        <v>111777</v>
      </c>
      <c r="I20" s="220">
        <f>SUM(I10:I19)</f>
        <v>111776.88</v>
      </c>
      <c r="J20" s="221">
        <f>(H20-D20)/D20</f>
        <v>0.50320741268709912</v>
      </c>
      <c r="K20" s="219"/>
      <c r="L20" s="220">
        <f>SUM(L10:L19)</f>
        <v>129073.75</v>
      </c>
      <c r="M20" s="220">
        <f>SUM(M10:M19)</f>
        <v>129073.77</v>
      </c>
      <c r="N20" s="221">
        <f>(L20-H20)/H20</f>
        <v>0.15474337296581586</v>
      </c>
      <c r="O20" s="219"/>
      <c r="P20" s="220">
        <f>SUM(P10:P19)</f>
        <v>117526.87</v>
      </c>
      <c r="Q20" s="220">
        <f>SUM(Q10:Q19)</f>
        <v>117526.88</v>
      </c>
      <c r="R20" s="221">
        <f>(P20-L20)/L20</f>
        <v>-8.9459553162436242E-2</v>
      </c>
      <c r="S20" s="219"/>
      <c r="T20" s="220">
        <f>SUM(T10:T19)</f>
        <v>104923.75</v>
      </c>
      <c r="U20" s="220">
        <f>SUM(U10:U19)</f>
        <v>97647.92</v>
      </c>
      <c r="V20" s="221">
        <v>-8.0000000000000004E-4</v>
      </c>
      <c r="W20" s="219"/>
      <c r="X20" s="220">
        <f>SUM(X10:X19)</f>
        <v>91894.06</v>
      </c>
      <c r="Y20" s="220">
        <f>SUM(Y10:Y19)</f>
        <v>91593.06</v>
      </c>
      <c r="Z20" s="221">
        <f>(X20-T20)/T20</f>
        <v>-0.12418246583828735</v>
      </c>
      <c r="AA20" s="219"/>
      <c r="AB20" s="220">
        <f>SUM(AB10:AB19)</f>
        <v>71700</v>
      </c>
      <c r="AC20" s="220">
        <f>SUM(AC10:AC19)</f>
        <v>71700</v>
      </c>
      <c r="AD20" s="221">
        <f>(AB20-X20)/X20</f>
        <v>-0.2197537033405641</v>
      </c>
      <c r="AE20" s="219"/>
      <c r="AF20" s="220">
        <f>SUM(AF10:AF19)</f>
        <v>61500</v>
      </c>
      <c r="AG20" s="220">
        <f>SUM(AG10:AG19)</f>
        <v>61500</v>
      </c>
      <c r="AH20" s="220">
        <f>SUM(AH10:AH19)</f>
        <v>61500</v>
      </c>
      <c r="AI20" s="221">
        <f t="shared" si="1"/>
        <v>-0.14225941422594143</v>
      </c>
      <c r="AJ20" s="221"/>
      <c r="AK20" s="401">
        <f>SUM(AK10:AK19)</f>
        <v>52150</v>
      </c>
      <c r="AL20" s="401">
        <f>SUM(AL10:AL19)</f>
        <v>27750</v>
      </c>
      <c r="AM20" s="221">
        <f t="shared" si="2"/>
        <v>-0.15203252032520326</v>
      </c>
      <c r="AN20" s="223">
        <f>SUM(AN10:AN19)</f>
        <v>41600</v>
      </c>
      <c r="AO20" s="220">
        <f>SUM(AO10:AO19)</f>
        <v>-10550</v>
      </c>
      <c r="AP20" s="221">
        <f t="shared" si="4"/>
        <v>-0.20230105465004794</v>
      </c>
      <c r="AQ20" s="219"/>
    </row>
    <row r="21" spans="1:43" s="211" customFormat="1" x14ac:dyDescent="0.25">
      <c r="D21" s="112"/>
      <c r="E21" s="112"/>
      <c r="F21" s="216"/>
      <c r="G21" s="213"/>
      <c r="H21" s="112"/>
      <c r="I21" s="112"/>
      <c r="J21" s="216"/>
      <c r="K21" s="213"/>
      <c r="L21" s="112"/>
      <c r="M21" s="112"/>
      <c r="N21" s="216"/>
      <c r="O21" s="213"/>
      <c r="P21" s="112"/>
      <c r="Q21" s="112"/>
      <c r="R21" s="216"/>
      <c r="S21" s="213"/>
      <c r="T21" s="112"/>
      <c r="U21" s="112"/>
      <c r="V21" s="216"/>
      <c r="W21" s="213"/>
      <c r="X21" s="112"/>
      <c r="Y21" s="112"/>
      <c r="Z21" s="216"/>
      <c r="AA21" s="213"/>
      <c r="AB21" s="112"/>
      <c r="AC21" s="112"/>
      <c r="AD21" s="216"/>
      <c r="AE21" s="213"/>
      <c r="AF21" s="112"/>
      <c r="AG21" s="112"/>
      <c r="AH21" s="112"/>
      <c r="AI21" s="216"/>
      <c r="AJ21" s="216"/>
      <c r="AK21" s="112"/>
      <c r="AL21" s="112"/>
      <c r="AM21" s="396"/>
      <c r="AN21" s="212"/>
      <c r="AO21" s="212">
        <f>AN21-AB21</f>
        <v>0</v>
      </c>
      <c r="AP21" s="396"/>
    </row>
    <row r="22" spans="1:43" s="114" customFormat="1" ht="12.75" x14ac:dyDescent="0.2">
      <c r="A22" s="228"/>
      <c r="B22" s="228"/>
      <c r="C22" s="229" t="s">
        <v>280</v>
      </c>
      <c r="D22" s="230">
        <f>D7+D20</f>
        <v>74359</v>
      </c>
      <c r="E22" s="230">
        <f>E7+E20</f>
        <v>74358.13</v>
      </c>
      <c r="F22" s="231">
        <v>-8.0000000000000004E-4</v>
      </c>
      <c r="G22" s="228"/>
      <c r="H22" s="230">
        <f>H7+H20</f>
        <v>111777</v>
      </c>
      <c r="I22" s="230">
        <f>I7+I20</f>
        <v>111776.88</v>
      </c>
      <c r="J22" s="231">
        <f>(H22-D22)/D22</f>
        <v>0.50320741268709912</v>
      </c>
      <c r="K22" s="228"/>
      <c r="L22" s="230">
        <f>L7+L20</f>
        <v>129073.75</v>
      </c>
      <c r="M22" s="230">
        <f>M7+M20</f>
        <v>129073.77</v>
      </c>
      <c r="N22" s="231">
        <f>(L22-H22)/H22</f>
        <v>0.15474337296581586</v>
      </c>
      <c r="O22" s="228"/>
      <c r="P22" s="230">
        <f>P7+P20</f>
        <v>117526.87</v>
      </c>
      <c r="Q22" s="230">
        <f>Q7+Q20</f>
        <v>117526.88</v>
      </c>
      <c r="R22" s="231">
        <f>(P22-L22)/L22</f>
        <v>-8.9459553162436242E-2</v>
      </c>
      <c r="S22" s="228"/>
      <c r="T22" s="230">
        <f>T7+T20</f>
        <v>104923.75</v>
      </c>
      <c r="U22" s="230">
        <f>U7+U20</f>
        <v>97647.92</v>
      </c>
      <c r="V22" s="231">
        <v>-8.0000000000000004E-4</v>
      </c>
      <c r="W22" s="228"/>
      <c r="X22" s="230">
        <f>X7+X20</f>
        <v>91894.06</v>
      </c>
      <c r="Y22" s="230">
        <f>Y7+Y20</f>
        <v>91593.06</v>
      </c>
      <c r="Z22" s="231">
        <f>(X22-T22)/T22</f>
        <v>-0.12418246583828735</v>
      </c>
      <c r="AA22" s="228"/>
      <c r="AB22" s="230">
        <f>AB7+AB20</f>
        <v>71700</v>
      </c>
      <c r="AC22" s="230">
        <f>AC7+AC20</f>
        <v>71700</v>
      </c>
      <c r="AD22" s="231">
        <f>(AB22-X22)/X22</f>
        <v>-0.2197537033405641</v>
      </c>
      <c r="AE22" s="228"/>
      <c r="AF22" s="230">
        <f>AF7+AF20</f>
        <v>61500</v>
      </c>
      <c r="AG22" s="230">
        <f>AG7+AG20</f>
        <v>61500</v>
      </c>
      <c r="AH22" s="230">
        <f>AH7+AH20</f>
        <v>61500</v>
      </c>
      <c r="AI22" s="231">
        <f t="shared" si="1"/>
        <v>-0.14225941422594143</v>
      </c>
      <c r="AJ22" s="231"/>
      <c r="AK22" s="402">
        <f>AK7+AK20</f>
        <v>52150</v>
      </c>
      <c r="AL22" s="402">
        <f>AL7+AL20</f>
        <v>27750</v>
      </c>
      <c r="AM22" s="231">
        <f t="shared" si="2"/>
        <v>-0.15203252032520326</v>
      </c>
      <c r="AN22" s="230">
        <f>SUM(AN7+AN20)</f>
        <v>41600</v>
      </c>
      <c r="AO22" s="230">
        <f>SUM(AO7+AO20)</f>
        <v>-10550</v>
      </c>
      <c r="AP22" s="231">
        <f t="shared" si="4"/>
        <v>-0.20230105465004794</v>
      </c>
      <c r="AQ22" s="233"/>
    </row>
    <row r="23" spans="1:43" ht="12" customHeight="1" x14ac:dyDescent="0.25">
      <c r="D23" s="120"/>
      <c r="H23" s="120"/>
      <c r="L23" s="120"/>
      <c r="P23" s="120"/>
      <c r="T23" s="120"/>
      <c r="X23" s="120"/>
      <c r="AB23" s="120"/>
      <c r="AF23" s="120"/>
      <c r="AG23" s="120"/>
      <c r="AK23" s="403"/>
    </row>
    <row r="24" spans="1:43" s="111" customFormat="1" thickBot="1" x14ac:dyDescent="0.25">
      <c r="C24" s="111" t="s">
        <v>281</v>
      </c>
      <c r="D24" s="122"/>
      <c r="E24" s="121">
        <f>D22-E22</f>
        <v>0.86999999999534339</v>
      </c>
      <c r="G24" s="118"/>
      <c r="H24" s="122"/>
      <c r="I24" s="121">
        <f>H22-I22</f>
        <v>0.11999999999534339</v>
      </c>
      <c r="K24" s="118"/>
      <c r="L24" s="122"/>
      <c r="M24" s="121">
        <f>L22-M22</f>
        <v>-2.0000000004074536E-2</v>
      </c>
      <c r="O24" s="118"/>
      <c r="P24" s="122"/>
      <c r="Q24" s="121">
        <f>P22-Q22</f>
        <v>-1.0000000009313226E-2</v>
      </c>
      <c r="S24" s="118"/>
      <c r="T24" s="122"/>
      <c r="U24" s="121">
        <f>T22-U22</f>
        <v>7275.8300000000017</v>
      </c>
      <c r="W24" s="118"/>
      <c r="X24" s="122"/>
      <c r="Y24" s="121">
        <f>X22-Y22</f>
        <v>301</v>
      </c>
      <c r="AA24" s="118"/>
      <c r="AB24" s="122"/>
      <c r="AC24" s="121">
        <f>AB22-AC22</f>
        <v>0</v>
      </c>
      <c r="AE24" s="118"/>
      <c r="AF24" s="122"/>
      <c r="AG24" s="122"/>
      <c r="AH24" s="121">
        <f>AG22-AH22</f>
        <v>0</v>
      </c>
      <c r="AK24" s="122"/>
      <c r="AL24" s="121">
        <f>AK22-AL22</f>
        <v>24400</v>
      </c>
      <c r="AN24" s="123"/>
      <c r="AO24" s="123"/>
    </row>
    <row r="25" spans="1:43" ht="14.25" thickTop="1" x14ac:dyDescent="0.25">
      <c r="D25" s="120"/>
      <c r="F25" s="4"/>
      <c r="H25" s="120"/>
      <c r="J25" s="4"/>
      <c r="L25" s="120"/>
      <c r="N25" s="4"/>
      <c r="P25" s="120"/>
      <c r="R25" s="4"/>
      <c r="T25" s="120"/>
      <c r="V25" s="4"/>
      <c r="X25" s="120"/>
      <c r="AB25" s="120"/>
      <c r="AF25" s="120"/>
      <c r="AG25" s="120"/>
      <c r="AK25" s="403"/>
    </row>
    <row r="26" spans="1:43" x14ac:dyDescent="0.25">
      <c r="D26" s="120"/>
      <c r="F26" s="4"/>
      <c r="H26" s="120"/>
      <c r="J26" s="4"/>
      <c r="L26" s="120"/>
      <c r="N26" s="4"/>
      <c r="P26" s="120"/>
      <c r="R26" s="4"/>
      <c r="T26" s="120"/>
      <c r="V26" s="4"/>
      <c r="X26" s="120"/>
      <c r="AB26" s="120"/>
      <c r="AF26" s="120"/>
      <c r="AG26" s="120"/>
      <c r="AK26" s="403"/>
    </row>
    <row r="27" spans="1:43" x14ac:dyDescent="0.25">
      <c r="D27" s="120"/>
      <c r="F27" s="4"/>
      <c r="H27" s="120"/>
      <c r="J27" s="4"/>
      <c r="L27" s="120"/>
      <c r="N27" s="4"/>
      <c r="P27" s="120"/>
      <c r="R27" s="4"/>
      <c r="T27" s="120"/>
      <c r="V27" s="4"/>
      <c r="X27" s="120"/>
      <c r="AB27" s="120"/>
      <c r="AF27" s="120"/>
      <c r="AG27" s="120"/>
      <c r="AK27" s="403"/>
    </row>
    <row r="28" spans="1:43" s="111" customFormat="1" ht="12.75" x14ac:dyDescent="0.2">
      <c r="D28" s="807" t="s">
        <v>1366</v>
      </c>
      <c r="E28" s="808"/>
      <c r="F28" s="809"/>
      <c r="G28" s="118"/>
      <c r="H28" s="807" t="s">
        <v>1365</v>
      </c>
      <c r="I28" s="808"/>
      <c r="J28" s="809"/>
      <c r="K28" s="118"/>
      <c r="L28" s="807" t="s">
        <v>1364</v>
      </c>
      <c r="M28" s="808"/>
      <c r="N28" s="809"/>
      <c r="O28" s="118"/>
      <c r="P28" s="807" t="s">
        <v>110</v>
      </c>
      <c r="Q28" s="808"/>
      <c r="R28" s="809"/>
      <c r="S28" s="118"/>
      <c r="T28" s="807" t="s">
        <v>271</v>
      </c>
      <c r="U28" s="808"/>
      <c r="V28" s="809"/>
      <c r="W28" s="118"/>
      <c r="X28" s="807" t="s">
        <v>980</v>
      </c>
      <c r="Y28" s="808"/>
      <c r="Z28" s="809"/>
      <c r="AA28" s="118"/>
      <c r="AB28" s="807" t="s">
        <v>1124</v>
      </c>
      <c r="AC28" s="808"/>
      <c r="AD28" s="809"/>
      <c r="AE28" s="118"/>
      <c r="AF28" s="807" t="s">
        <v>1363</v>
      </c>
      <c r="AG28" s="808"/>
      <c r="AH28" s="808"/>
      <c r="AI28" s="809"/>
      <c r="AJ28" s="386"/>
      <c r="AK28" s="807" t="s">
        <v>1592</v>
      </c>
      <c r="AL28" s="808"/>
      <c r="AM28" s="809"/>
      <c r="AN28" s="805" t="s">
        <v>1593</v>
      </c>
      <c r="AO28" s="805"/>
      <c r="AP28" s="805"/>
      <c r="AQ28" s="805"/>
    </row>
    <row r="29" spans="1:43" ht="27" x14ac:dyDescent="0.25">
      <c r="B29" s="211"/>
      <c r="C29" s="308" t="s">
        <v>1995</v>
      </c>
      <c r="D29" s="106" t="s">
        <v>98</v>
      </c>
      <c r="E29" s="106" t="s">
        <v>27</v>
      </c>
      <c r="F29" s="106" t="s">
        <v>273</v>
      </c>
      <c r="G29" s="211"/>
      <c r="H29" s="106" t="s">
        <v>98</v>
      </c>
      <c r="I29" s="106" t="s">
        <v>27</v>
      </c>
      <c r="J29" s="106" t="s">
        <v>273</v>
      </c>
      <c r="K29" s="211"/>
      <c r="L29" s="106" t="s">
        <v>98</v>
      </c>
      <c r="M29" s="106" t="s">
        <v>27</v>
      </c>
      <c r="N29" s="106" t="s">
        <v>273</v>
      </c>
      <c r="O29" s="211"/>
      <c r="P29" s="106" t="s">
        <v>98</v>
      </c>
      <c r="Q29" s="106" t="s">
        <v>27</v>
      </c>
      <c r="R29" s="106" t="s">
        <v>273</v>
      </c>
      <c r="S29" s="211"/>
      <c r="T29" s="106" t="s">
        <v>98</v>
      </c>
      <c r="U29" s="106" t="s">
        <v>27</v>
      </c>
      <c r="V29" s="106" t="s">
        <v>273</v>
      </c>
      <c r="W29" s="211"/>
      <c r="X29" s="106" t="s">
        <v>98</v>
      </c>
      <c r="Y29" s="106" t="s">
        <v>27</v>
      </c>
      <c r="Z29" s="106" t="s">
        <v>273</v>
      </c>
      <c r="AA29" s="211"/>
      <c r="AB29" s="106" t="s">
        <v>98</v>
      </c>
      <c r="AC29" s="106" t="s">
        <v>27</v>
      </c>
      <c r="AD29" s="106" t="s">
        <v>273</v>
      </c>
      <c r="AE29" s="211"/>
      <c r="AF29" s="106" t="s">
        <v>98</v>
      </c>
      <c r="AG29" s="106" t="s">
        <v>98</v>
      </c>
      <c r="AH29" s="106" t="s">
        <v>981</v>
      </c>
      <c r="AI29" s="106" t="s">
        <v>273</v>
      </c>
      <c r="AJ29" s="106"/>
      <c r="AK29" s="106" t="s">
        <v>98</v>
      </c>
      <c r="AL29" s="439" t="s">
        <v>1714</v>
      </c>
      <c r="AM29" s="106" t="s">
        <v>273</v>
      </c>
      <c r="AN29" s="107" t="s">
        <v>274</v>
      </c>
      <c r="AO29" s="108" t="s">
        <v>107</v>
      </c>
      <c r="AP29" s="109" t="s">
        <v>28</v>
      </c>
      <c r="AQ29" s="110" t="s">
        <v>275</v>
      </c>
    </row>
    <row r="30" spans="1:43" x14ac:dyDescent="0.25">
      <c r="A30" s="111" t="s">
        <v>272</v>
      </c>
      <c r="B30" s="211"/>
      <c r="C30" s="111" t="s">
        <v>276</v>
      </c>
      <c r="T30" s="211"/>
      <c r="U30" s="211"/>
      <c r="V30" s="211"/>
      <c r="W30" s="213"/>
      <c r="X30" s="211"/>
      <c r="Y30" s="211"/>
      <c r="Z30" s="211"/>
      <c r="AA30" s="213"/>
      <c r="AB30" s="211"/>
      <c r="AC30" s="211"/>
      <c r="AD30" s="211"/>
      <c r="AJ30" s="211"/>
      <c r="AN30" s="213"/>
      <c r="AO30" s="213"/>
      <c r="AP30" s="111"/>
    </row>
    <row r="31" spans="1:43" x14ac:dyDescent="0.25">
      <c r="A31" s="211"/>
      <c r="B31" s="211"/>
      <c r="C31" s="211"/>
      <c r="D31" s="112">
        <v>0</v>
      </c>
      <c r="E31" s="112">
        <v>0</v>
      </c>
      <c r="F31" s="216"/>
      <c r="H31" s="112">
        <v>0</v>
      </c>
      <c r="I31" s="112">
        <v>0</v>
      </c>
      <c r="J31" s="216"/>
      <c r="L31" s="112">
        <v>0</v>
      </c>
      <c r="M31" s="112">
        <v>0</v>
      </c>
      <c r="N31" s="216"/>
      <c r="P31" s="112">
        <v>0</v>
      </c>
      <c r="Q31" s="112">
        <v>0</v>
      </c>
      <c r="R31" s="216"/>
      <c r="T31" s="112">
        <v>0</v>
      </c>
      <c r="U31" s="112">
        <v>0</v>
      </c>
      <c r="V31" s="216"/>
      <c r="W31" s="213"/>
      <c r="X31" s="112">
        <v>0</v>
      </c>
      <c r="Y31" s="112">
        <v>0</v>
      </c>
      <c r="Z31" s="216"/>
      <c r="AA31" s="213"/>
      <c r="AB31" s="112">
        <v>0</v>
      </c>
      <c r="AC31" s="112">
        <v>0</v>
      </c>
      <c r="AD31" s="216"/>
      <c r="AF31" s="112"/>
      <c r="AG31" s="112"/>
      <c r="AH31" s="112"/>
      <c r="AI31" s="216"/>
      <c r="AJ31" s="216"/>
      <c r="AK31" s="112"/>
      <c r="AL31" s="112"/>
      <c r="AM31" s="396"/>
      <c r="AN31" s="212">
        <v>0</v>
      </c>
      <c r="AO31" s="212"/>
      <c r="AP31" s="211"/>
    </row>
    <row r="32" spans="1:43" x14ac:dyDescent="0.25">
      <c r="A32" s="224"/>
      <c r="B32" s="224"/>
      <c r="C32" s="224" t="s">
        <v>26</v>
      </c>
      <c r="D32" s="225">
        <v>0</v>
      </c>
      <c r="E32" s="225">
        <v>0</v>
      </c>
      <c r="F32" s="226"/>
      <c r="G32" s="224"/>
      <c r="H32" s="225">
        <v>0</v>
      </c>
      <c r="I32" s="225">
        <v>0</v>
      </c>
      <c r="J32" s="226"/>
      <c r="K32" s="224"/>
      <c r="L32" s="225">
        <v>0</v>
      </c>
      <c r="M32" s="225">
        <v>0</v>
      </c>
      <c r="N32" s="226"/>
      <c r="O32" s="224"/>
      <c r="P32" s="225">
        <v>0</v>
      </c>
      <c r="Q32" s="225">
        <v>0</v>
      </c>
      <c r="R32" s="226"/>
      <c r="S32" s="224"/>
      <c r="T32" s="225">
        <v>0</v>
      </c>
      <c r="U32" s="225">
        <v>0</v>
      </c>
      <c r="V32" s="226"/>
      <c r="W32" s="224"/>
      <c r="X32" s="225">
        <v>0</v>
      </c>
      <c r="Y32" s="225">
        <v>0</v>
      </c>
      <c r="Z32" s="226"/>
      <c r="AA32" s="224"/>
      <c r="AB32" s="225">
        <v>0</v>
      </c>
      <c r="AC32" s="225">
        <v>0</v>
      </c>
      <c r="AD32" s="226"/>
      <c r="AE32" s="224"/>
      <c r="AF32" s="225">
        <f>SUM(AF31)</f>
        <v>0</v>
      </c>
      <c r="AG32" s="225">
        <f>SUM(AG31)</f>
        <v>0</v>
      </c>
      <c r="AH32" s="225">
        <f>SUM(AH31)</f>
        <v>0</v>
      </c>
      <c r="AI32" s="226"/>
      <c r="AJ32" s="226"/>
      <c r="AK32" s="225">
        <f>SUM(AK31)</f>
        <v>0</v>
      </c>
      <c r="AL32" s="225">
        <f>SUM(AL31)</f>
        <v>0</v>
      </c>
      <c r="AM32" s="226"/>
      <c r="AN32" s="227">
        <f>SUM(AN31)</f>
        <v>0</v>
      </c>
      <c r="AO32" s="225">
        <f>AN32-T32</f>
        <v>0</v>
      </c>
      <c r="AP32" s="224"/>
    </row>
    <row r="33" spans="1:42" x14ac:dyDescent="0.25">
      <c r="A33" s="211"/>
      <c r="B33" s="211"/>
      <c r="C33" s="211"/>
      <c r="D33" s="112"/>
      <c r="E33" s="112"/>
      <c r="G33" s="211"/>
      <c r="H33" s="112"/>
      <c r="I33" s="112"/>
      <c r="K33" s="211"/>
      <c r="L33" s="112"/>
      <c r="M33" s="112"/>
      <c r="O33" s="211"/>
      <c r="P33" s="112"/>
      <c r="Q33" s="112"/>
      <c r="S33" s="211"/>
      <c r="T33" s="112"/>
      <c r="U33" s="112"/>
      <c r="V33" s="211"/>
      <c r="W33" s="211"/>
      <c r="X33" s="112"/>
      <c r="Y33" s="112"/>
      <c r="Z33" s="211"/>
      <c r="AA33" s="211"/>
      <c r="AB33" s="112"/>
      <c r="AC33" s="112"/>
      <c r="AD33" s="211"/>
      <c r="AE33" s="211"/>
      <c r="AF33" s="112"/>
      <c r="AG33" s="112"/>
      <c r="AH33" s="112"/>
      <c r="AJ33" s="211"/>
      <c r="AK33" s="112"/>
      <c r="AL33" s="112"/>
      <c r="AN33" s="212"/>
      <c r="AO33" s="123"/>
      <c r="AP33" s="211"/>
    </row>
    <row r="34" spans="1:42" x14ac:dyDescent="0.25">
      <c r="A34" s="211"/>
      <c r="B34" s="211"/>
      <c r="C34" s="111" t="s">
        <v>277</v>
      </c>
      <c r="D34" s="112"/>
      <c r="E34" s="112"/>
      <c r="G34" s="211"/>
      <c r="H34" s="112"/>
      <c r="I34" s="112"/>
      <c r="K34" s="211"/>
      <c r="L34" s="112"/>
      <c r="M34" s="112"/>
      <c r="O34" s="211"/>
      <c r="P34" s="112"/>
      <c r="Q34" s="112"/>
      <c r="S34" s="211"/>
      <c r="T34" s="112"/>
      <c r="U34" s="112"/>
      <c r="V34" s="211"/>
      <c r="W34" s="211"/>
      <c r="X34" s="112"/>
      <c r="Y34" s="112"/>
      <c r="Z34" s="211"/>
      <c r="AA34" s="211"/>
      <c r="AB34" s="112"/>
      <c r="AC34" s="112"/>
      <c r="AD34" s="211"/>
      <c r="AE34" s="211"/>
      <c r="AF34" s="112"/>
      <c r="AG34" s="112"/>
      <c r="AH34" s="112"/>
      <c r="AJ34" s="211"/>
      <c r="AK34" s="112"/>
      <c r="AL34" s="112"/>
      <c r="AN34" s="212"/>
      <c r="AO34" s="212"/>
      <c r="AP34" s="111"/>
    </row>
    <row r="35" spans="1:42" x14ac:dyDescent="0.25">
      <c r="A35" s="211" t="s">
        <v>840</v>
      </c>
      <c r="B35" s="211" t="str">
        <f>MID(A35,14,4)</f>
        <v>5319</v>
      </c>
      <c r="C35" s="211" t="s">
        <v>1745</v>
      </c>
      <c r="D35" s="112">
        <v>600</v>
      </c>
      <c r="E35" s="112">
        <v>225</v>
      </c>
      <c r="F35" s="216"/>
      <c r="H35" s="112">
        <v>600</v>
      </c>
      <c r="I35" s="112">
        <v>900</v>
      </c>
      <c r="J35" s="216"/>
      <c r="L35" s="112">
        <v>600</v>
      </c>
      <c r="M35" s="112">
        <v>500</v>
      </c>
      <c r="N35" s="216"/>
      <c r="P35" s="112">
        <v>100</v>
      </c>
      <c r="Q35" s="112">
        <v>576</v>
      </c>
      <c r="R35" s="216"/>
      <c r="T35" s="112">
        <v>100</v>
      </c>
      <c r="U35" s="112">
        <v>500</v>
      </c>
      <c r="V35" s="216"/>
      <c r="W35" s="213"/>
      <c r="X35" s="112">
        <v>100</v>
      </c>
      <c r="Y35" s="112">
        <v>500</v>
      </c>
      <c r="Z35" s="216"/>
      <c r="AA35" s="213"/>
      <c r="AB35" s="112">
        <v>500</v>
      </c>
      <c r="AC35" s="112">
        <v>500</v>
      </c>
      <c r="AD35" s="216"/>
      <c r="AF35" s="245" t="e">
        <f ca="1">_xll.GL($A35,DATA!$M$5,DATA!$A$1,DATA!$M$6,DATA!$M$7)</f>
        <v>#NAME?</v>
      </c>
      <c r="AG35" s="245" t="e">
        <f ca="1">_xll.GL($A35,DATA!$M$5,DATA!$A$1,DATA!$M$6,DATA!$M$7)</f>
        <v>#NAME?</v>
      </c>
      <c r="AH35" s="245">
        <v>0</v>
      </c>
      <c r="AI35" s="216" t="e">
        <f ca="1">(AG35-AB35)/AB35</f>
        <v>#NAME?</v>
      </c>
      <c r="AJ35" s="216"/>
      <c r="AK35" s="398" t="e">
        <f ca="1">_xll.GL($A35,DATA!$M$5,DATA!$A$1,DATA!$M$6,DATA!$M$7)</f>
        <v>#NAME?</v>
      </c>
      <c r="AL35" s="398">
        <v>0</v>
      </c>
      <c r="AM35" s="396" t="e">
        <f ca="1">(AK35-AF35)/AF35</f>
        <v>#NAME?</v>
      </c>
      <c r="AN35" s="163">
        <v>500</v>
      </c>
      <c r="AO35" s="218" t="e">
        <f ca="1">AN35-AG35</f>
        <v>#NAME?</v>
      </c>
      <c r="AP35" s="216" t="e">
        <f ca="1">AO35/AG35</f>
        <v>#NAME?</v>
      </c>
    </row>
    <row r="36" spans="1:42" x14ac:dyDescent="0.25">
      <c r="A36" s="211" t="s">
        <v>841</v>
      </c>
      <c r="B36" s="214" t="str">
        <f>MID(A36,14,4)</f>
        <v>5907</v>
      </c>
      <c r="C36" s="211" t="s">
        <v>2100</v>
      </c>
      <c r="D36" s="112">
        <v>500</v>
      </c>
      <c r="E36" s="112">
        <v>400</v>
      </c>
      <c r="F36" s="216"/>
      <c r="H36" s="112">
        <v>500</v>
      </c>
      <c r="I36" s="112">
        <v>1829.04</v>
      </c>
      <c r="J36" s="216"/>
      <c r="L36" s="112">
        <v>500</v>
      </c>
      <c r="M36" s="112">
        <v>3248.86</v>
      </c>
      <c r="N36" s="216"/>
      <c r="P36" s="112">
        <v>3300</v>
      </c>
      <c r="Q36" s="112">
        <v>0</v>
      </c>
      <c r="R36" s="216"/>
      <c r="T36" s="112">
        <v>0</v>
      </c>
      <c r="U36" s="112">
        <v>0</v>
      </c>
      <c r="V36" s="216"/>
      <c r="W36" s="213"/>
      <c r="X36" s="112">
        <v>0</v>
      </c>
      <c r="Y36" s="112">
        <v>0</v>
      </c>
      <c r="Z36" s="216"/>
      <c r="AA36" s="213"/>
      <c r="AB36" s="112">
        <v>0</v>
      </c>
      <c r="AC36" s="112">
        <v>0</v>
      </c>
      <c r="AD36" s="216"/>
      <c r="AF36" s="112"/>
      <c r="AG36" s="112"/>
      <c r="AH36" s="112"/>
      <c r="AI36" s="216"/>
      <c r="AJ36" s="216"/>
      <c r="AK36" s="112"/>
      <c r="AL36" s="112"/>
      <c r="AM36" s="396"/>
      <c r="AN36" s="163">
        <v>0</v>
      </c>
      <c r="AO36" s="218"/>
      <c r="AP36" s="216"/>
    </row>
    <row r="37" spans="1:42" x14ac:dyDescent="0.25">
      <c r="A37" s="211" t="s">
        <v>842</v>
      </c>
      <c r="B37" s="214" t="str">
        <f>MID(A37,14,4)</f>
        <v>5911</v>
      </c>
      <c r="C37" s="211" t="s">
        <v>2101</v>
      </c>
      <c r="D37" s="112">
        <v>0</v>
      </c>
      <c r="E37" s="112">
        <v>0</v>
      </c>
      <c r="F37" s="216"/>
      <c r="H37" s="112">
        <v>6952</v>
      </c>
      <c r="I37" s="112">
        <v>6954.11</v>
      </c>
      <c r="J37" s="216"/>
      <c r="L37" s="112">
        <v>0</v>
      </c>
      <c r="M37" s="112">
        <v>0</v>
      </c>
      <c r="N37" s="216"/>
      <c r="P37" s="112">
        <v>0</v>
      </c>
      <c r="Q37" s="112">
        <v>0</v>
      </c>
      <c r="R37" s="216"/>
      <c r="T37" s="112">
        <v>0</v>
      </c>
      <c r="U37" s="112">
        <v>0</v>
      </c>
      <c r="V37" s="216"/>
      <c r="W37" s="213"/>
      <c r="X37" s="112">
        <v>0</v>
      </c>
      <c r="Y37" s="112">
        <v>0</v>
      </c>
      <c r="Z37" s="216"/>
      <c r="AA37" s="213"/>
      <c r="AB37" s="112">
        <v>0</v>
      </c>
      <c r="AC37" s="112">
        <v>0</v>
      </c>
      <c r="AD37" s="216"/>
      <c r="AF37" s="112" t="e">
        <f ca="1">_xll.GL($A37,DATA!$M$5,DATA!$A$1,DATA!$M$6,DATA!$M$7)</f>
        <v>#NAME?</v>
      </c>
      <c r="AG37" s="112"/>
      <c r="AH37" s="112"/>
      <c r="AI37" s="216"/>
      <c r="AJ37" s="216"/>
      <c r="AK37" s="112" t="e">
        <f ca="1">_xll.GL($A37,DATA!$M$5,DATA!$A$1,DATA!$M$6,DATA!$M$7)</f>
        <v>#NAME?</v>
      </c>
      <c r="AL37" s="112"/>
      <c r="AM37" s="396"/>
      <c r="AN37" s="163">
        <v>0</v>
      </c>
      <c r="AO37" s="218">
        <f>AN37-AG37</f>
        <v>0</v>
      </c>
      <c r="AP37" s="216"/>
    </row>
    <row r="38" spans="1:42" x14ac:dyDescent="0.25">
      <c r="A38" s="219"/>
      <c r="B38" s="219"/>
      <c r="C38" s="219" t="s">
        <v>279</v>
      </c>
      <c r="D38" s="220">
        <f>SUM(D35:D37)</f>
        <v>1100</v>
      </c>
      <c r="E38" s="220">
        <f>SUM(E35:E37)</f>
        <v>625</v>
      </c>
      <c r="F38" s="221">
        <v>-0.86339999999999995</v>
      </c>
      <c r="G38" s="219"/>
      <c r="H38" s="220">
        <f>SUM(H35:H37)</f>
        <v>8052</v>
      </c>
      <c r="I38" s="220">
        <f>SUM(I35:I37)</f>
        <v>9683.15</v>
      </c>
      <c r="J38" s="221">
        <f>(H38-D38)/D38</f>
        <v>6.32</v>
      </c>
      <c r="K38" s="219"/>
      <c r="L38" s="220">
        <f>SUM(L35:L37)</f>
        <v>1100</v>
      </c>
      <c r="M38" s="220">
        <f>SUM(M35:M37)</f>
        <v>3748.86</v>
      </c>
      <c r="N38" s="221">
        <v>-0.86339999999999995</v>
      </c>
      <c r="O38" s="219"/>
      <c r="P38" s="220">
        <f>SUM(P35:P37)</f>
        <v>3400</v>
      </c>
      <c r="Q38" s="220">
        <f>SUM(Q35:Q37)</f>
        <v>576</v>
      </c>
      <c r="R38" s="221">
        <v>-0.86339999999999995</v>
      </c>
      <c r="S38" s="219"/>
      <c r="T38" s="220">
        <f>SUM(T35:T37)</f>
        <v>100</v>
      </c>
      <c r="U38" s="220">
        <f>SUM(U35:U37)</f>
        <v>500</v>
      </c>
      <c r="V38" s="221">
        <v>-0.86339999999999995</v>
      </c>
      <c r="W38" s="219"/>
      <c r="X38" s="220">
        <f>SUM(X35:X37)</f>
        <v>100</v>
      </c>
      <c r="Y38" s="220">
        <f>SUM(Y35:Y37)</f>
        <v>500</v>
      </c>
      <c r="Z38" s="222">
        <f>(X38-T38)/T38</f>
        <v>0</v>
      </c>
      <c r="AA38" s="219"/>
      <c r="AB38" s="220">
        <f>SUM(AB35:AB37)</f>
        <v>500</v>
      </c>
      <c r="AC38" s="220">
        <f>SUM(AC35:AC37)</f>
        <v>500</v>
      </c>
      <c r="AD38" s="221">
        <f>(AB38-X38)/X38</f>
        <v>4</v>
      </c>
      <c r="AE38" s="219"/>
      <c r="AF38" s="220" t="e">
        <f ca="1">SUM(AF35:AF37)</f>
        <v>#NAME?</v>
      </c>
      <c r="AG38" s="220" t="e">
        <f ca="1">SUM(AG35:AG37)</f>
        <v>#NAME?</v>
      </c>
      <c r="AH38" s="220">
        <f>SUM(AH35:AH37)</f>
        <v>0</v>
      </c>
      <c r="AI38" s="221" t="e">
        <f ca="1">(AG38-AB38)/AB38</f>
        <v>#NAME?</v>
      </c>
      <c r="AJ38" s="221"/>
      <c r="AK38" s="401" t="e">
        <f ca="1">SUM(AK35:AK37)</f>
        <v>#NAME?</v>
      </c>
      <c r="AL38" s="401">
        <f>SUM(AL35:AL37)</f>
        <v>0</v>
      </c>
      <c r="AM38" s="221" t="e">
        <f ca="1">(AK38-AF38)/AF38</f>
        <v>#NAME?</v>
      </c>
      <c r="AN38" s="223">
        <f>SUM(AN35:AN37)</f>
        <v>500</v>
      </c>
      <c r="AO38" s="220" t="e">
        <f ca="1">SUM(AO28:AO37)</f>
        <v>#NAME?</v>
      </c>
      <c r="AP38" s="221" t="e">
        <f ca="1">AO38/AG38</f>
        <v>#NAME?</v>
      </c>
    </row>
    <row r="39" spans="1:42" x14ac:dyDescent="0.25">
      <c r="A39" s="211"/>
      <c r="B39" s="211"/>
      <c r="C39" s="211"/>
      <c r="D39" s="112"/>
      <c r="E39" s="112"/>
      <c r="F39" s="216"/>
      <c r="H39" s="112"/>
      <c r="I39" s="112"/>
      <c r="J39" s="216"/>
      <c r="L39" s="112"/>
      <c r="M39" s="112"/>
      <c r="N39" s="216"/>
      <c r="P39" s="112"/>
      <c r="Q39" s="112"/>
      <c r="R39" s="216"/>
      <c r="T39" s="112"/>
      <c r="U39" s="112"/>
      <c r="V39" s="216"/>
      <c r="W39" s="213"/>
      <c r="X39" s="112"/>
      <c r="Y39" s="112"/>
      <c r="Z39" s="216"/>
      <c r="AA39" s="213"/>
      <c r="AB39" s="112"/>
      <c r="AC39" s="112"/>
      <c r="AD39" s="216"/>
      <c r="AF39" s="112"/>
      <c r="AG39" s="112"/>
      <c r="AH39" s="112"/>
      <c r="AI39" s="216"/>
      <c r="AJ39" s="216"/>
      <c r="AK39" s="112"/>
      <c r="AL39" s="112"/>
      <c r="AM39" s="396"/>
      <c r="AN39" s="212"/>
      <c r="AO39" s="212">
        <f>AN39-AB39</f>
        <v>0</v>
      </c>
      <c r="AP39" s="216"/>
    </row>
    <row r="40" spans="1:42" x14ac:dyDescent="0.25">
      <c r="A40" s="228"/>
      <c r="B40" s="228"/>
      <c r="C40" s="233" t="s">
        <v>280</v>
      </c>
      <c r="D40" s="230">
        <f>D32+D38</f>
        <v>1100</v>
      </c>
      <c r="E40" s="230">
        <f>E32+E38</f>
        <v>625</v>
      </c>
      <c r="F40" s="231">
        <v>-0.86339999999999995</v>
      </c>
      <c r="G40" s="228"/>
      <c r="H40" s="230">
        <f>H32+H38</f>
        <v>8052</v>
      </c>
      <c r="I40" s="230">
        <f>I32+I38</f>
        <v>9683.15</v>
      </c>
      <c r="J40" s="231">
        <f>(H40-D40)/D40</f>
        <v>6.32</v>
      </c>
      <c r="K40" s="228"/>
      <c r="L40" s="230">
        <f>L32+L38</f>
        <v>1100</v>
      </c>
      <c r="M40" s="230">
        <f>M32+M38</f>
        <v>3748.86</v>
      </c>
      <c r="N40" s="231">
        <v>-0.86339999999999995</v>
      </c>
      <c r="O40" s="228"/>
      <c r="P40" s="230">
        <f>P32+P38</f>
        <v>3400</v>
      </c>
      <c r="Q40" s="230">
        <f>Q32+Q38</f>
        <v>576</v>
      </c>
      <c r="R40" s="231">
        <v>-0.86339999999999995</v>
      </c>
      <c r="S40" s="228"/>
      <c r="T40" s="230">
        <f>T32+T38</f>
        <v>100</v>
      </c>
      <c r="U40" s="230">
        <f>U32+U38</f>
        <v>500</v>
      </c>
      <c r="V40" s="231">
        <v>-0.86339999999999995</v>
      </c>
      <c r="W40" s="228"/>
      <c r="X40" s="230">
        <f>X32+X38</f>
        <v>100</v>
      </c>
      <c r="Y40" s="230">
        <f>Y32+Y38</f>
        <v>500</v>
      </c>
      <c r="Z40" s="231">
        <f>(X40-T40)/T40</f>
        <v>0</v>
      </c>
      <c r="AA40" s="228"/>
      <c r="AB40" s="230">
        <f>AB32+AB38</f>
        <v>500</v>
      </c>
      <c r="AC40" s="230">
        <f>AC32+AC38</f>
        <v>500</v>
      </c>
      <c r="AD40" s="231">
        <f>(AB40-X40)/X40</f>
        <v>4</v>
      </c>
      <c r="AE40" s="228"/>
      <c r="AF40" s="230" t="e">
        <f ca="1">AF32+AF38</f>
        <v>#NAME?</v>
      </c>
      <c r="AG40" s="230" t="e">
        <f ca="1">AG32+AG38</f>
        <v>#NAME?</v>
      </c>
      <c r="AH40" s="230">
        <f>AH32+AH38</f>
        <v>0</v>
      </c>
      <c r="AI40" s="231" t="e">
        <f ca="1">(AG40-AB40)/AB40</f>
        <v>#NAME?</v>
      </c>
      <c r="AJ40" s="231"/>
      <c r="AK40" s="402" t="e">
        <f ca="1">AK32+AK38</f>
        <v>#NAME?</v>
      </c>
      <c r="AL40" s="402">
        <f>AL32+AL38</f>
        <v>0</v>
      </c>
      <c r="AM40" s="231" t="e">
        <f ca="1">(AK40-AF40)/AF40</f>
        <v>#NAME?</v>
      </c>
      <c r="AN40" s="232">
        <f>AN32+AN38</f>
        <v>500</v>
      </c>
      <c r="AO40" s="230" t="e">
        <f ca="1">SUM(AO25+AO38)</f>
        <v>#NAME?</v>
      </c>
      <c r="AP40" s="231" t="e">
        <f ca="1">AO40/AG40</f>
        <v>#NAME?</v>
      </c>
    </row>
    <row r="41" spans="1:42" x14ac:dyDescent="0.25">
      <c r="A41" s="211"/>
      <c r="B41" s="211"/>
      <c r="C41" s="211"/>
      <c r="D41" s="120"/>
      <c r="G41" s="211"/>
      <c r="H41" s="120"/>
      <c r="K41" s="211"/>
      <c r="L41" s="120"/>
      <c r="O41" s="211"/>
      <c r="P41" s="120"/>
      <c r="S41" s="211"/>
      <c r="T41" s="120"/>
      <c r="U41" s="211"/>
      <c r="V41" s="211"/>
      <c r="W41" s="211"/>
      <c r="X41" s="120"/>
      <c r="Y41" s="211"/>
      <c r="Z41" s="211"/>
      <c r="AA41" s="211"/>
      <c r="AB41" s="120"/>
      <c r="AC41" s="211"/>
      <c r="AD41" s="211"/>
      <c r="AE41" s="211"/>
      <c r="AF41" s="120"/>
      <c r="AG41" s="120"/>
      <c r="AJ41" s="211"/>
      <c r="AK41" s="403"/>
      <c r="AN41" s="212"/>
      <c r="AO41" s="212"/>
      <c r="AP41" s="211"/>
    </row>
    <row r="42" spans="1:42" ht="14.25" thickBot="1" x14ac:dyDescent="0.3">
      <c r="A42" s="111"/>
      <c r="B42" s="111"/>
      <c r="C42" s="111" t="s">
        <v>281</v>
      </c>
      <c r="D42" s="122"/>
      <c r="E42" s="121">
        <f>D40-E40</f>
        <v>475</v>
      </c>
      <c r="F42" s="111"/>
      <c r="G42" s="111"/>
      <c r="H42" s="122"/>
      <c r="I42" s="121">
        <f>H40-I40</f>
        <v>-1631.1499999999996</v>
      </c>
      <c r="J42" s="111"/>
      <c r="K42" s="111"/>
      <c r="L42" s="122"/>
      <c r="M42" s="121">
        <f>L40-M40</f>
        <v>-2648.86</v>
      </c>
      <c r="N42" s="111"/>
      <c r="O42" s="111"/>
      <c r="P42" s="122"/>
      <c r="Q42" s="121">
        <f>P40-Q40</f>
        <v>2824</v>
      </c>
      <c r="R42" s="111"/>
      <c r="S42" s="111"/>
      <c r="T42" s="122"/>
      <c r="U42" s="121">
        <f>T40-U40</f>
        <v>-400</v>
      </c>
      <c r="V42" s="111"/>
      <c r="W42" s="111"/>
      <c r="X42" s="122"/>
      <c r="Y42" s="121">
        <f>X40-Y40</f>
        <v>-400</v>
      </c>
      <c r="Z42" s="111"/>
      <c r="AA42" s="111"/>
      <c r="AB42" s="122"/>
      <c r="AC42" s="121">
        <f>AB40-AC40</f>
        <v>0</v>
      </c>
      <c r="AD42" s="111"/>
      <c r="AE42" s="111"/>
      <c r="AF42" s="122"/>
      <c r="AG42" s="122"/>
      <c r="AH42" s="121" t="e">
        <f ca="1">AF40-AH40</f>
        <v>#NAME?</v>
      </c>
      <c r="AI42" s="111"/>
      <c r="AJ42" s="111"/>
      <c r="AK42" s="122"/>
      <c r="AL42" s="121" t="e">
        <f ca="1">AK40-AL40</f>
        <v>#NAME?</v>
      </c>
      <c r="AM42" s="111"/>
      <c r="AN42" s="123"/>
      <c r="AO42" s="123"/>
      <c r="AP42" s="111"/>
    </row>
    <row r="43" spans="1:42" ht="14.25" thickTop="1" x14ac:dyDescent="0.25">
      <c r="A43" s="211"/>
      <c r="B43" s="211"/>
      <c r="C43" s="211"/>
      <c r="D43" s="120"/>
      <c r="F43" s="213"/>
      <c r="G43" s="211"/>
      <c r="H43" s="120"/>
      <c r="J43" s="213"/>
      <c r="K43" s="211"/>
      <c r="L43" s="120"/>
      <c r="N43" s="213"/>
      <c r="O43" s="211"/>
      <c r="P43" s="120"/>
      <c r="R43" s="213"/>
      <c r="S43" s="211"/>
      <c r="T43" s="120"/>
      <c r="U43" s="211"/>
      <c r="V43" s="213"/>
      <c r="W43" s="211"/>
      <c r="X43" s="120"/>
      <c r="Y43" s="211"/>
      <c r="Z43" s="211"/>
      <c r="AA43" s="211"/>
      <c r="AB43" s="120"/>
      <c r="AC43" s="211"/>
      <c r="AD43" s="211"/>
      <c r="AE43" s="211"/>
      <c r="AF43" s="120"/>
      <c r="AG43" s="120"/>
      <c r="AJ43" s="211"/>
      <c r="AK43" s="403"/>
      <c r="AN43" s="212"/>
      <c r="AO43" s="212"/>
      <c r="AP43" s="211"/>
    </row>
    <row r="44" spans="1:42" x14ac:dyDescent="0.25">
      <c r="A44" s="211"/>
      <c r="B44" s="211"/>
      <c r="C44" s="211"/>
      <c r="D44" s="120"/>
      <c r="F44" s="213"/>
      <c r="G44" s="211"/>
      <c r="H44" s="120"/>
      <c r="J44" s="213"/>
      <c r="K44" s="211"/>
      <c r="L44" s="120"/>
      <c r="N44" s="213"/>
      <c r="O44" s="211"/>
      <c r="P44" s="120"/>
      <c r="R44" s="213"/>
      <c r="S44" s="211"/>
      <c r="T44" s="120"/>
      <c r="U44" s="211"/>
      <c r="V44" s="213"/>
      <c r="W44" s="211"/>
      <c r="X44" s="120"/>
      <c r="Y44" s="211"/>
      <c r="Z44" s="211"/>
      <c r="AA44" s="211"/>
      <c r="AB44" s="120"/>
      <c r="AC44" s="211"/>
      <c r="AD44" s="211"/>
      <c r="AE44" s="211"/>
      <c r="AF44" s="120"/>
      <c r="AG44" s="120"/>
      <c r="AJ44" s="211"/>
      <c r="AK44" s="403"/>
      <c r="AN44" s="212"/>
      <c r="AO44" s="212"/>
      <c r="AP44" s="211"/>
    </row>
    <row r="45" spans="1:42" x14ac:dyDescent="0.25">
      <c r="D45" s="120"/>
      <c r="H45" s="120"/>
      <c r="L45" s="120"/>
      <c r="P45" s="120"/>
      <c r="T45" s="120"/>
      <c r="X45" s="120"/>
      <c r="AB45" s="120"/>
      <c r="AF45" s="120"/>
      <c r="AG45" s="120"/>
      <c r="AK45" s="403"/>
    </row>
    <row r="46" spans="1:42" x14ac:dyDescent="0.25">
      <c r="D46" s="120"/>
      <c r="H46" s="120"/>
      <c r="L46" s="120"/>
      <c r="P46" s="120"/>
      <c r="T46" s="120"/>
      <c r="X46" s="120"/>
      <c r="AB46" s="120"/>
      <c r="AF46" s="120"/>
      <c r="AG46" s="120"/>
      <c r="AK46" s="403"/>
    </row>
    <row r="47" spans="1:42" x14ac:dyDescent="0.25">
      <c r="D47" s="120"/>
      <c r="H47" s="120"/>
      <c r="L47" s="120"/>
      <c r="P47" s="120"/>
      <c r="T47" s="120"/>
      <c r="X47" s="120"/>
      <c r="AB47" s="120"/>
      <c r="AF47" s="120"/>
      <c r="AG47" s="120"/>
      <c r="AK47" s="403"/>
    </row>
    <row r="48" spans="1:42"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403" t="s">
        <v>1511</v>
      </c>
      <c r="E125" s="211">
        <v>30.35</v>
      </c>
      <c r="F125" s="211">
        <v>25</v>
      </c>
      <c r="G125" s="397"/>
      <c r="H125" s="403"/>
      <c r="I125" s="394"/>
      <c r="J125" s="394"/>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sheetData>
  <mergeCells count="21">
    <mergeCell ref="P28:R28"/>
    <mergeCell ref="H3:J3"/>
    <mergeCell ref="L3:N3"/>
    <mergeCell ref="H28:J28"/>
    <mergeCell ref="L28:N28"/>
    <mergeCell ref="A4:C4"/>
    <mergeCell ref="AN28:AQ28"/>
    <mergeCell ref="T3:V3"/>
    <mergeCell ref="X3:Z3"/>
    <mergeCell ref="AB3:AD3"/>
    <mergeCell ref="AN3:AQ3"/>
    <mergeCell ref="AF3:AI3"/>
    <mergeCell ref="AK3:AM3"/>
    <mergeCell ref="AK28:AM28"/>
    <mergeCell ref="T28:V28"/>
    <mergeCell ref="X28:Z28"/>
    <mergeCell ref="AB28:AD28"/>
    <mergeCell ref="AF28:AI28"/>
    <mergeCell ref="D3:F3"/>
    <mergeCell ref="D28:F28"/>
    <mergeCell ref="P3:R3"/>
  </mergeCells>
  <pageMargins left="0.75" right="0.75" top="1" bottom="1" header="0.5" footer="0.5"/>
  <pageSetup paperSize="5" scale="70" orientation="landscape" r:id="rId1"/>
  <headerFooter alignWithMargins="0">
    <oddHeader>&amp;C&amp;"-,Bold"Proposed Budget &amp; Analysis Report for FY20</oddHeader>
    <oddFooter>&amp;C&amp;D&amp;T&amp;R&amp;A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ER335"/>
  <sheetViews>
    <sheetView zoomScaleNormal="100" zoomScaleSheetLayoutView="100" workbookViewId="0"/>
  </sheetViews>
  <sheetFormatPr defaultRowHeight="13.5" x14ac:dyDescent="0.25"/>
  <cols>
    <col min="1" max="1" width="19" style="161" bestFit="1" customWidth="1"/>
    <col min="2" max="2" width="5" style="161" customWidth="1"/>
    <col min="3" max="3" width="40.85546875" style="161" customWidth="1"/>
    <col min="4" max="4" width="13.28515625" style="211" hidden="1" customWidth="1"/>
    <col min="5" max="5" width="11.42578125" style="211" hidden="1" customWidth="1"/>
    <col min="6" max="6" width="9.28515625" style="211" hidden="1" customWidth="1"/>
    <col min="7" max="7" width="2.42578125" style="211" hidden="1" customWidth="1"/>
    <col min="8" max="8" width="13.28515625" style="211" hidden="1" customWidth="1"/>
    <col min="9" max="9" width="11.42578125" style="211" hidden="1" customWidth="1"/>
    <col min="10" max="10" width="9.28515625" style="211" hidden="1" customWidth="1"/>
    <col min="11" max="11" width="2.42578125" style="211" hidden="1" customWidth="1"/>
    <col min="12" max="12" width="13.28515625" style="211" hidden="1" customWidth="1"/>
    <col min="13" max="13" width="11.42578125" style="211" hidden="1" customWidth="1"/>
    <col min="14" max="14" width="9.28515625" style="211" hidden="1" customWidth="1"/>
    <col min="15" max="15" width="2.42578125" style="211" hidden="1" customWidth="1"/>
    <col min="16" max="16" width="13.28515625" style="211" hidden="1" customWidth="1"/>
    <col min="17" max="17" width="11.42578125" style="211" hidden="1" customWidth="1"/>
    <col min="18" max="18" width="9.28515625" style="211" hidden="1" customWidth="1"/>
    <col min="19" max="19" width="2.42578125" style="211" hidden="1" customWidth="1"/>
    <col min="20" max="20" width="13.28515625" style="161" hidden="1" customWidth="1"/>
    <col min="21" max="21" width="11.42578125" style="161" hidden="1" customWidth="1"/>
    <col min="22" max="22" width="9.28515625" style="161" hidden="1" customWidth="1"/>
    <col min="23" max="23" width="2.42578125" style="161" hidden="1" customWidth="1"/>
    <col min="24" max="24" width="9.85546875" style="161" hidden="1" customWidth="1"/>
    <col min="25" max="25" width="10.140625" style="161" hidden="1" customWidth="1"/>
    <col min="26" max="26" width="9.28515625" style="161" hidden="1" customWidth="1"/>
    <col min="27" max="27" width="2.42578125" style="161" hidden="1" customWidth="1"/>
    <col min="28" max="28" width="9.85546875" style="161" customWidth="1"/>
    <col min="29" max="29" width="10.140625" style="161" customWidth="1"/>
    <col min="30" max="30" width="8.140625" style="161" bestFit="1" customWidth="1"/>
    <col min="31" max="31" width="2.42578125" style="211" customWidth="1"/>
    <col min="32" max="33" width="9.85546875" style="211" customWidth="1"/>
    <col min="34" max="34" width="10.140625" style="211" customWidth="1"/>
    <col min="35" max="35" width="8.140625" style="211" bestFit="1" customWidth="1"/>
    <col min="36" max="36" width="1.85546875" style="161" customWidth="1"/>
    <col min="37" max="37" width="12" style="104" bestFit="1" customWidth="1"/>
    <col min="38" max="38" width="10.7109375" style="104" bestFit="1" customWidth="1"/>
    <col min="39" max="39" width="9.5703125" style="394" bestFit="1" customWidth="1"/>
    <col min="40" max="40" width="21.42578125" style="161" customWidth="1"/>
    <col min="41" max="41" width="9.140625" style="211"/>
    <col min="42" max="16384" width="9.140625" style="161"/>
  </cols>
  <sheetData>
    <row r="3" spans="1:148" s="111" customFormat="1" ht="12.75" x14ac:dyDescent="0.2">
      <c r="D3" s="807" t="s">
        <v>1366</v>
      </c>
      <c r="E3" s="808"/>
      <c r="F3" s="809"/>
      <c r="H3" s="807" t="s">
        <v>1365</v>
      </c>
      <c r="I3" s="808"/>
      <c r="J3" s="809"/>
      <c r="L3" s="807" t="s">
        <v>1364</v>
      </c>
      <c r="M3" s="808"/>
      <c r="N3" s="809"/>
      <c r="P3" s="807" t="s">
        <v>110</v>
      </c>
      <c r="Q3" s="808"/>
      <c r="R3" s="809"/>
      <c r="T3" s="807" t="s">
        <v>271</v>
      </c>
      <c r="U3" s="808"/>
      <c r="V3" s="809"/>
      <c r="X3" s="807" t="s">
        <v>980</v>
      </c>
      <c r="Y3" s="808"/>
      <c r="Z3" s="809"/>
      <c r="AB3" s="807" t="s">
        <v>1124</v>
      </c>
      <c r="AC3" s="808"/>
      <c r="AD3" s="809"/>
      <c r="AF3" s="807" t="s">
        <v>1363</v>
      </c>
      <c r="AG3" s="808"/>
      <c r="AH3" s="808"/>
      <c r="AI3" s="809"/>
      <c r="AJ3" s="201"/>
      <c r="AK3" s="805" t="s">
        <v>1362</v>
      </c>
      <c r="AL3" s="805"/>
      <c r="AM3" s="805"/>
      <c r="AN3" s="805"/>
    </row>
    <row r="4" spans="1:148" ht="27" x14ac:dyDescent="0.25">
      <c r="A4" s="271"/>
      <c r="B4" s="271"/>
      <c r="C4" s="308" t="s">
        <v>1995</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1370</v>
      </c>
      <c r="AI4" s="106" t="s">
        <v>273</v>
      </c>
      <c r="AJ4" s="106"/>
      <c r="AK4" s="107" t="s">
        <v>274</v>
      </c>
      <c r="AL4" s="108" t="s">
        <v>107</v>
      </c>
      <c r="AM4" s="109" t="s">
        <v>28</v>
      </c>
      <c r="AN4" s="110" t="s">
        <v>275</v>
      </c>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row>
    <row r="5" spans="1:148" s="211" customFormat="1" x14ac:dyDescent="0.25">
      <c r="A5" s="111" t="s">
        <v>272</v>
      </c>
      <c r="C5" s="111" t="s">
        <v>276</v>
      </c>
      <c r="G5" s="213"/>
      <c r="K5" s="213"/>
      <c r="O5" s="213"/>
      <c r="S5" s="213"/>
      <c r="W5" s="213"/>
      <c r="AA5" s="213"/>
      <c r="AE5" s="213"/>
      <c r="AK5" s="213"/>
      <c r="AL5" s="213"/>
      <c r="AM5" s="394"/>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row>
    <row r="6" spans="1:148" s="211" customFormat="1" x14ac:dyDescent="0.25">
      <c r="D6" s="112"/>
      <c r="E6" s="112"/>
      <c r="F6" s="216"/>
      <c r="G6" s="213"/>
      <c r="H6" s="112"/>
      <c r="I6" s="112"/>
      <c r="J6" s="216"/>
      <c r="K6" s="213"/>
      <c r="L6" s="112"/>
      <c r="M6" s="112"/>
      <c r="N6" s="216"/>
      <c r="O6" s="213"/>
      <c r="P6" s="112"/>
      <c r="Q6" s="112"/>
      <c r="R6" s="216"/>
      <c r="S6" s="213"/>
      <c r="T6" s="112"/>
      <c r="U6" s="112"/>
      <c r="V6" s="216"/>
      <c r="W6" s="213"/>
      <c r="X6" s="112"/>
      <c r="Y6" s="112"/>
      <c r="Z6" s="216"/>
      <c r="AA6" s="213"/>
      <c r="AB6" s="112"/>
      <c r="AC6" s="112"/>
      <c r="AD6" s="216"/>
      <c r="AE6" s="213"/>
      <c r="AF6" s="212">
        <v>0</v>
      </c>
      <c r="AG6" s="212">
        <v>0</v>
      </c>
      <c r="AH6" s="112"/>
      <c r="AI6" s="216"/>
      <c r="AJ6" s="216"/>
      <c r="AK6" s="212">
        <v>0</v>
      </c>
      <c r="AL6" s="212"/>
      <c r="AM6" s="396"/>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row>
    <row r="7" spans="1:148" s="114" customFormat="1" x14ac:dyDescent="0.25">
      <c r="A7" s="224"/>
      <c r="B7" s="224"/>
      <c r="C7" s="224" t="s">
        <v>26</v>
      </c>
      <c r="D7" s="225">
        <v>0</v>
      </c>
      <c r="E7" s="225">
        <v>0</v>
      </c>
      <c r="F7" s="226"/>
      <c r="G7" s="224"/>
      <c r="H7" s="225">
        <v>0</v>
      </c>
      <c r="I7" s="225">
        <v>0</v>
      </c>
      <c r="J7" s="226"/>
      <c r="K7" s="224"/>
      <c r="L7" s="225">
        <v>0</v>
      </c>
      <c r="M7" s="225">
        <v>0</v>
      </c>
      <c r="N7" s="226"/>
      <c r="O7" s="224"/>
      <c r="P7" s="225">
        <v>0</v>
      </c>
      <c r="Q7" s="225">
        <v>0</v>
      </c>
      <c r="R7" s="226"/>
      <c r="S7" s="224"/>
      <c r="T7" s="225">
        <v>0</v>
      </c>
      <c r="U7" s="225">
        <v>0</v>
      </c>
      <c r="V7" s="226"/>
      <c r="W7" s="224"/>
      <c r="X7" s="225">
        <v>0</v>
      </c>
      <c r="Y7" s="225">
        <v>0</v>
      </c>
      <c r="Z7" s="226"/>
      <c r="AA7" s="224"/>
      <c r="AB7" s="225">
        <v>0</v>
      </c>
      <c r="AC7" s="225">
        <v>0</v>
      </c>
      <c r="AD7" s="226"/>
      <c r="AE7" s="224"/>
      <c r="AF7" s="227">
        <f>SUM(AF6)</f>
        <v>0</v>
      </c>
      <c r="AG7" s="227">
        <f>SUM(AG6)</f>
        <v>0</v>
      </c>
      <c r="AH7" s="225">
        <f>SUM(AH6)</f>
        <v>0</v>
      </c>
      <c r="AI7" s="226"/>
      <c r="AJ7" s="226"/>
      <c r="AK7" s="227">
        <f>SUM(AK6)</f>
        <v>0</v>
      </c>
      <c r="AL7" s="225">
        <f>AK7-T7</f>
        <v>0</v>
      </c>
      <c r="AM7" s="226"/>
      <c r="AN7" s="224"/>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row>
    <row r="8" spans="1:148" x14ac:dyDescent="0.25">
      <c r="D8" s="112"/>
      <c r="E8" s="112"/>
      <c r="H8" s="112"/>
      <c r="I8" s="112"/>
      <c r="L8" s="112"/>
      <c r="M8" s="112"/>
      <c r="P8" s="112"/>
      <c r="Q8" s="112"/>
      <c r="T8" s="112"/>
      <c r="U8" s="112"/>
      <c r="X8" s="112"/>
      <c r="Y8" s="112"/>
      <c r="AB8" s="112"/>
      <c r="AC8" s="112"/>
      <c r="AF8" s="212"/>
      <c r="AG8" s="212"/>
      <c r="AH8" s="112"/>
      <c r="AL8" s="123"/>
      <c r="AM8" s="396"/>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row>
    <row r="9" spans="1:148" x14ac:dyDescent="0.25">
      <c r="C9" s="111" t="s">
        <v>277</v>
      </c>
      <c r="D9" s="112"/>
      <c r="E9" s="112"/>
      <c r="H9" s="112"/>
      <c r="I9" s="112"/>
      <c r="L9" s="112"/>
      <c r="M9" s="112"/>
      <c r="P9" s="112"/>
      <c r="Q9" s="112"/>
      <c r="T9" s="112"/>
      <c r="U9" s="112"/>
      <c r="X9" s="112"/>
      <c r="Y9" s="112"/>
      <c r="AB9" s="112"/>
      <c r="AC9" s="112"/>
      <c r="AF9" s="212"/>
      <c r="AG9" s="212"/>
      <c r="AH9" s="112"/>
      <c r="AM9" s="396"/>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row>
    <row r="10" spans="1:148" s="213" customFormat="1" x14ac:dyDescent="0.25">
      <c r="A10" s="211" t="s">
        <v>840</v>
      </c>
      <c r="B10" s="211" t="str">
        <f>MID(A10,14,4)</f>
        <v>5319</v>
      </c>
      <c r="C10" s="211" t="s">
        <v>1745</v>
      </c>
      <c r="D10" s="112">
        <v>600</v>
      </c>
      <c r="E10" s="112">
        <v>225</v>
      </c>
      <c r="F10" s="216"/>
      <c r="H10" s="112">
        <v>600</v>
      </c>
      <c r="I10" s="112">
        <v>900</v>
      </c>
      <c r="J10" s="216"/>
      <c r="L10" s="112">
        <v>600</v>
      </c>
      <c r="M10" s="112">
        <v>500</v>
      </c>
      <c r="N10" s="216"/>
      <c r="P10" s="112">
        <v>100</v>
      </c>
      <c r="Q10" s="112">
        <v>576</v>
      </c>
      <c r="R10" s="216"/>
      <c r="T10" s="112">
        <v>100</v>
      </c>
      <c r="U10" s="112">
        <v>500</v>
      </c>
      <c r="V10" s="216"/>
      <c r="X10" s="112">
        <v>100</v>
      </c>
      <c r="Y10" s="112">
        <v>500</v>
      </c>
      <c r="Z10" s="216"/>
      <c r="AB10" s="112">
        <v>500</v>
      </c>
      <c r="AC10" s="112">
        <v>500</v>
      </c>
      <c r="AD10" s="216"/>
      <c r="AF10" s="163">
        <v>500</v>
      </c>
      <c r="AG10" s="163">
        <v>500</v>
      </c>
      <c r="AH10" s="245">
        <v>0</v>
      </c>
      <c r="AI10" s="216">
        <f>(AF10-AB10)/AB10</f>
        <v>0</v>
      </c>
      <c r="AJ10" s="216"/>
      <c r="AK10" s="163">
        <v>500</v>
      </c>
      <c r="AL10" s="212">
        <f>AK10-AF10</f>
        <v>0</v>
      </c>
      <c r="AM10" s="396">
        <f>AL10/AG10</f>
        <v>0</v>
      </c>
      <c r="AN10" s="288" t="s">
        <v>1184</v>
      </c>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row>
    <row r="11" spans="1:148" x14ac:dyDescent="0.25">
      <c r="A11" s="161" t="s">
        <v>841</v>
      </c>
      <c r="B11" s="119" t="str">
        <f>MID(A11,14,4)</f>
        <v>5907</v>
      </c>
      <c r="C11" s="161" t="s">
        <v>2100</v>
      </c>
      <c r="D11" s="112">
        <v>500</v>
      </c>
      <c r="E11" s="112">
        <v>400</v>
      </c>
      <c r="F11" s="216"/>
      <c r="G11" s="213"/>
      <c r="H11" s="112">
        <v>500</v>
      </c>
      <c r="I11" s="112">
        <v>1829.04</v>
      </c>
      <c r="J11" s="216"/>
      <c r="K11" s="213"/>
      <c r="L11" s="112">
        <v>500</v>
      </c>
      <c r="M11" s="112">
        <v>3248.86</v>
      </c>
      <c r="N11" s="216"/>
      <c r="O11" s="213"/>
      <c r="P11" s="112">
        <v>3300</v>
      </c>
      <c r="Q11" s="112">
        <v>0</v>
      </c>
      <c r="R11" s="216"/>
      <c r="S11" s="213"/>
      <c r="T11" s="112">
        <v>0</v>
      </c>
      <c r="U11" s="112">
        <v>0</v>
      </c>
      <c r="V11" s="216"/>
      <c r="W11" s="213"/>
      <c r="X11" s="112">
        <v>0</v>
      </c>
      <c r="Y11" s="112">
        <v>0</v>
      </c>
      <c r="Z11" s="216"/>
      <c r="AA11" s="213"/>
      <c r="AB11" s="112">
        <v>0</v>
      </c>
      <c r="AC11" s="112">
        <v>0</v>
      </c>
      <c r="AD11" s="216"/>
      <c r="AE11" s="213"/>
      <c r="AF11" s="112"/>
      <c r="AG11" s="112"/>
      <c r="AH11" s="112"/>
      <c r="AI11" s="216"/>
      <c r="AJ11" s="80"/>
      <c r="AK11" s="163">
        <v>0</v>
      </c>
      <c r="AL11" s="218">
        <f>AK11-AF11</f>
        <v>0</v>
      </c>
      <c r="AM11" s="396"/>
      <c r="AN11" s="166"/>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row>
    <row r="12" spans="1:148" x14ac:dyDescent="0.25">
      <c r="A12" s="161" t="s">
        <v>842</v>
      </c>
      <c r="B12" s="119" t="str">
        <f>MID(A12,14,4)</f>
        <v>5911</v>
      </c>
      <c r="C12" s="161" t="s">
        <v>2101</v>
      </c>
      <c r="D12" s="112">
        <v>0</v>
      </c>
      <c r="E12" s="112">
        <v>0</v>
      </c>
      <c r="F12" s="216"/>
      <c r="G12" s="213"/>
      <c r="H12" s="112">
        <v>6952</v>
      </c>
      <c r="I12" s="112">
        <v>6954.11</v>
      </c>
      <c r="J12" s="216"/>
      <c r="K12" s="213"/>
      <c r="L12" s="112">
        <v>0</v>
      </c>
      <c r="M12" s="112">
        <v>0</v>
      </c>
      <c r="N12" s="216"/>
      <c r="O12" s="213"/>
      <c r="P12" s="112">
        <v>0</v>
      </c>
      <c r="Q12" s="112">
        <v>0</v>
      </c>
      <c r="R12" s="216"/>
      <c r="S12" s="213"/>
      <c r="T12" s="112">
        <v>0</v>
      </c>
      <c r="U12" s="112">
        <v>0</v>
      </c>
      <c r="V12" s="216"/>
      <c r="W12" s="213"/>
      <c r="X12" s="112">
        <v>0</v>
      </c>
      <c r="Y12" s="112">
        <v>0</v>
      </c>
      <c r="Z12" s="216"/>
      <c r="AA12" s="213"/>
      <c r="AB12" s="112">
        <v>0</v>
      </c>
      <c r="AC12" s="112">
        <v>0</v>
      </c>
      <c r="AD12" s="216"/>
      <c r="AE12" s="213"/>
      <c r="AF12" s="112"/>
      <c r="AG12" s="112"/>
      <c r="AH12" s="112"/>
      <c r="AI12" s="216"/>
      <c r="AJ12" s="80"/>
      <c r="AK12" s="163">
        <v>0</v>
      </c>
      <c r="AL12" s="218">
        <f>AK12-AF12</f>
        <v>0</v>
      </c>
      <c r="AM12" s="396"/>
      <c r="AN12" s="166"/>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row>
    <row r="13" spans="1:148" s="114" customFormat="1" x14ac:dyDescent="0.25">
      <c r="A13" s="219"/>
      <c r="B13" s="219"/>
      <c r="C13" s="219" t="s">
        <v>279</v>
      </c>
      <c r="D13" s="220">
        <f>SUM(D10:D12)</f>
        <v>1100</v>
      </c>
      <c r="E13" s="220">
        <f>SUM(E10:E12)</f>
        <v>625</v>
      </c>
      <c r="F13" s="221">
        <v>-0.86339999999999995</v>
      </c>
      <c r="G13" s="219"/>
      <c r="H13" s="220">
        <f>SUM(H10:H12)</f>
        <v>8052</v>
      </c>
      <c r="I13" s="220">
        <f>SUM(I10:I12)</f>
        <v>9683.15</v>
      </c>
      <c r="J13" s="221">
        <v>-0.86339999999999995</v>
      </c>
      <c r="K13" s="219"/>
      <c r="L13" s="220">
        <f>SUM(L10:L12)</f>
        <v>1100</v>
      </c>
      <c r="M13" s="220">
        <f>SUM(M10:M12)</f>
        <v>3748.86</v>
      </c>
      <c r="N13" s="221">
        <v>-0.86339999999999995</v>
      </c>
      <c r="O13" s="219"/>
      <c r="P13" s="220">
        <f>SUM(P10:P12)</f>
        <v>3400</v>
      </c>
      <c r="Q13" s="220">
        <f>SUM(Q10:Q12)</f>
        <v>576</v>
      </c>
      <c r="R13" s="221">
        <v>-0.86339999999999995</v>
      </c>
      <c r="S13" s="219"/>
      <c r="T13" s="220">
        <f>SUM(T10:T12)</f>
        <v>100</v>
      </c>
      <c r="U13" s="220">
        <f>SUM(U10:U12)</f>
        <v>500</v>
      </c>
      <c r="V13" s="221">
        <v>-0.86339999999999995</v>
      </c>
      <c r="W13" s="219"/>
      <c r="X13" s="220">
        <f>SUM(X10:X12)</f>
        <v>100</v>
      </c>
      <c r="Y13" s="220">
        <f>SUM(Y10:Y12)</f>
        <v>500</v>
      </c>
      <c r="Z13" s="222">
        <f>(X13-T13)/T13</f>
        <v>0</v>
      </c>
      <c r="AA13" s="219"/>
      <c r="AB13" s="220">
        <f>SUM(AB10:AB12)</f>
        <v>500</v>
      </c>
      <c r="AC13" s="220">
        <f>SUM(AC10:AC12)</f>
        <v>500</v>
      </c>
      <c r="AD13" s="221">
        <f>(AB13-X13)/X13</f>
        <v>4</v>
      </c>
      <c r="AE13" s="219"/>
      <c r="AF13" s="220">
        <f>SUM(AF10:AF12)</f>
        <v>500</v>
      </c>
      <c r="AG13" s="220">
        <f>SUM(AG10:AG12)</f>
        <v>500</v>
      </c>
      <c r="AH13" s="220">
        <f>SUM(AH10:AH12)</f>
        <v>0</v>
      </c>
      <c r="AI13" s="221">
        <f>(AF13-AB13)/AB13</f>
        <v>0</v>
      </c>
      <c r="AJ13" s="221"/>
      <c r="AK13" s="223">
        <f>SUM(AK10:AK12)</f>
        <v>500</v>
      </c>
      <c r="AL13" s="220">
        <f>AK13-AF13</f>
        <v>0</v>
      </c>
      <c r="AM13" s="221">
        <f>AL13/AG13</f>
        <v>0</v>
      </c>
      <c r="AN13" s="219"/>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row>
    <row r="14" spans="1:148" s="211" customFormat="1" x14ac:dyDescent="0.25">
      <c r="D14" s="112"/>
      <c r="E14" s="112"/>
      <c r="F14" s="216"/>
      <c r="G14" s="213"/>
      <c r="H14" s="112"/>
      <c r="I14" s="112"/>
      <c r="J14" s="216"/>
      <c r="K14" s="213"/>
      <c r="L14" s="112"/>
      <c r="M14" s="112"/>
      <c r="N14" s="216"/>
      <c r="O14" s="213"/>
      <c r="P14" s="112"/>
      <c r="Q14" s="112"/>
      <c r="R14" s="216"/>
      <c r="S14" s="213"/>
      <c r="T14" s="112"/>
      <c r="U14" s="112"/>
      <c r="V14" s="216"/>
      <c r="W14" s="213"/>
      <c r="X14" s="112"/>
      <c r="Y14" s="112"/>
      <c r="Z14" s="216"/>
      <c r="AA14" s="213"/>
      <c r="AB14" s="112"/>
      <c r="AC14" s="112"/>
      <c r="AD14" s="216"/>
      <c r="AE14" s="213"/>
      <c r="AF14" s="112"/>
      <c r="AG14" s="112"/>
      <c r="AH14" s="112"/>
      <c r="AI14" s="216"/>
      <c r="AJ14" s="216"/>
      <c r="AK14" s="212"/>
      <c r="AL14" s="212"/>
      <c r="AM14" s="396"/>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row>
    <row r="15" spans="1:148" s="114" customFormat="1" ht="12.75" x14ac:dyDescent="0.2">
      <c r="A15" s="228"/>
      <c r="B15" s="228"/>
      <c r="C15" s="233" t="s">
        <v>280</v>
      </c>
      <c r="D15" s="230">
        <f>D7+D13</f>
        <v>1100</v>
      </c>
      <c r="E15" s="230">
        <f>E7+E13</f>
        <v>625</v>
      </c>
      <c r="F15" s="231">
        <v>-0.86339999999999995</v>
      </c>
      <c r="G15" s="228"/>
      <c r="H15" s="230">
        <f>H7+H13</f>
        <v>8052</v>
      </c>
      <c r="I15" s="230">
        <f>I7+I13</f>
        <v>9683.15</v>
      </c>
      <c r="J15" s="231">
        <v>-0.86339999999999995</v>
      </c>
      <c r="K15" s="228"/>
      <c r="L15" s="230">
        <f>L7+L13</f>
        <v>1100</v>
      </c>
      <c r="M15" s="230">
        <f>M7+M13</f>
        <v>3748.86</v>
      </c>
      <c r="N15" s="231">
        <v>-0.86339999999999995</v>
      </c>
      <c r="O15" s="228"/>
      <c r="P15" s="230">
        <f>P7+P13</f>
        <v>3400</v>
      </c>
      <c r="Q15" s="230">
        <f>Q7+Q13</f>
        <v>576</v>
      </c>
      <c r="R15" s="231">
        <v>-0.86339999999999995</v>
      </c>
      <c r="S15" s="228"/>
      <c r="T15" s="230">
        <f>T7+T13</f>
        <v>100</v>
      </c>
      <c r="U15" s="230">
        <f>U7+U13</f>
        <v>500</v>
      </c>
      <c r="V15" s="231">
        <v>-0.86339999999999995</v>
      </c>
      <c r="W15" s="228"/>
      <c r="X15" s="230">
        <f>X7+X13</f>
        <v>100</v>
      </c>
      <c r="Y15" s="230">
        <f>Y7+Y13</f>
        <v>500</v>
      </c>
      <c r="Z15" s="231">
        <f>(X15-T15)/T15</f>
        <v>0</v>
      </c>
      <c r="AA15" s="228"/>
      <c r="AB15" s="230">
        <f>AB7+AB13</f>
        <v>500</v>
      </c>
      <c r="AC15" s="230">
        <f>AC7+AC13</f>
        <v>500</v>
      </c>
      <c r="AD15" s="231">
        <f>(AB15-X15)/X15</f>
        <v>4</v>
      </c>
      <c r="AE15" s="228"/>
      <c r="AF15" s="230">
        <f>AF7+AF13</f>
        <v>500</v>
      </c>
      <c r="AG15" s="230">
        <f>AG7+AG13</f>
        <v>500</v>
      </c>
      <c r="AH15" s="230">
        <f>AH7+AH13</f>
        <v>0</v>
      </c>
      <c r="AI15" s="231">
        <f>(AF15-AB15)/AB15</f>
        <v>0</v>
      </c>
      <c r="AJ15" s="231"/>
      <c r="AK15" s="232">
        <f>AK7+AK13</f>
        <v>500</v>
      </c>
      <c r="AL15" s="230">
        <f>AK15-AF15</f>
        <v>0</v>
      </c>
      <c r="AM15" s="231">
        <f>AL15/AG15</f>
        <v>0</v>
      </c>
      <c r="AN15" s="233"/>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row>
    <row r="16" spans="1:148" ht="12" customHeight="1" x14ac:dyDescent="0.25">
      <c r="D16" s="120"/>
      <c r="H16" s="120"/>
      <c r="L16" s="120"/>
      <c r="P16" s="120"/>
      <c r="T16" s="120"/>
      <c r="X16" s="120"/>
      <c r="AB16" s="120"/>
      <c r="AF16" s="120"/>
      <c r="AG16" s="120"/>
      <c r="AM16" s="396"/>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row>
    <row r="17" spans="3:148" s="111" customFormat="1" ht="14.25" thickBot="1" x14ac:dyDescent="0.3">
      <c r="C17" s="111" t="s">
        <v>281</v>
      </c>
      <c r="D17" s="122"/>
      <c r="E17" s="121">
        <f>D15-E15</f>
        <v>475</v>
      </c>
      <c r="H17" s="122"/>
      <c r="I17" s="121">
        <f>H15-I15</f>
        <v>-1631.1499999999996</v>
      </c>
      <c r="L17" s="122"/>
      <c r="M17" s="121">
        <f>L15-M15</f>
        <v>-2648.86</v>
      </c>
      <c r="P17" s="122"/>
      <c r="Q17" s="121">
        <f>P15-Q15</f>
        <v>2824</v>
      </c>
      <c r="T17" s="122"/>
      <c r="U17" s="121">
        <f>T15-U15</f>
        <v>-400</v>
      </c>
      <c r="X17" s="122"/>
      <c r="Y17" s="121">
        <f>X15-Y15</f>
        <v>-400</v>
      </c>
      <c r="AB17" s="122"/>
      <c r="AC17" s="121">
        <f>AB15-AC15</f>
        <v>0</v>
      </c>
      <c r="AF17" s="122"/>
      <c r="AG17" s="122"/>
      <c r="AH17" s="121">
        <f>AF15-AH15</f>
        <v>500</v>
      </c>
      <c r="AK17" s="123"/>
      <c r="AL17" s="123"/>
      <c r="AM17" s="4"/>
    </row>
    <row r="18" spans="3:148" ht="14.25" thickTop="1" x14ac:dyDescent="0.25">
      <c r="D18" s="120"/>
      <c r="F18" s="213"/>
      <c r="H18" s="120"/>
      <c r="J18" s="213"/>
      <c r="L18" s="120"/>
      <c r="N18" s="213"/>
      <c r="P18" s="120"/>
      <c r="R18" s="213"/>
      <c r="T18" s="120"/>
      <c r="V18" s="103"/>
      <c r="X18" s="120"/>
      <c r="AB18" s="120"/>
      <c r="AF18" s="120"/>
      <c r="AG18" s="120"/>
      <c r="AM18" s="4"/>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row>
    <row r="19" spans="3:148" x14ac:dyDescent="0.25">
      <c r="D19" s="120"/>
      <c r="F19" s="213"/>
      <c r="H19" s="120"/>
      <c r="J19" s="213"/>
      <c r="L19" s="120"/>
      <c r="N19" s="213"/>
      <c r="P19" s="120"/>
      <c r="R19" s="213"/>
      <c r="T19" s="120"/>
      <c r="V19" s="103"/>
      <c r="X19" s="120"/>
      <c r="AB19" s="120"/>
      <c r="AF19" s="120"/>
      <c r="AG19" s="120"/>
      <c r="AM19" s="4"/>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row>
    <row r="20" spans="3:148" x14ac:dyDescent="0.25">
      <c r="D20" s="120"/>
      <c r="F20" s="213"/>
      <c r="H20" s="120"/>
      <c r="J20" s="213"/>
      <c r="L20" s="120"/>
      <c r="N20" s="213"/>
      <c r="P20" s="120"/>
      <c r="R20" s="213"/>
      <c r="T20" s="120"/>
      <c r="V20" s="103"/>
      <c r="X20" s="120"/>
      <c r="AB20" s="120"/>
      <c r="AF20" s="120"/>
      <c r="AG20" s="120"/>
      <c r="AM20" s="407"/>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row>
    <row r="21" spans="3:148" x14ac:dyDescent="0.25">
      <c r="D21" s="120"/>
      <c r="F21" s="213"/>
      <c r="H21" s="120"/>
      <c r="J21" s="213"/>
      <c r="L21" s="120"/>
      <c r="N21" s="213"/>
      <c r="P21" s="120"/>
      <c r="R21" s="213"/>
      <c r="T21" s="120"/>
      <c r="V21" s="103"/>
      <c r="X21" s="120"/>
      <c r="AB21" s="120"/>
      <c r="AF21" s="120"/>
      <c r="AG21" s="120"/>
      <c r="AM21" s="4"/>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row>
    <row r="22" spans="3:148" x14ac:dyDescent="0.25">
      <c r="D22" s="120"/>
      <c r="F22" s="213"/>
      <c r="H22" s="120"/>
      <c r="J22" s="213"/>
      <c r="L22" s="120"/>
      <c r="N22" s="213"/>
      <c r="P22" s="120"/>
      <c r="R22" s="213"/>
      <c r="T22" s="120"/>
      <c r="V22" s="103"/>
      <c r="X22" s="120"/>
      <c r="AB22" s="120"/>
      <c r="AF22" s="120"/>
      <c r="AG22" s="120"/>
      <c r="AM22" s="407"/>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row>
    <row r="23" spans="3:148" x14ac:dyDescent="0.25">
      <c r="D23" s="120"/>
      <c r="F23" s="213"/>
      <c r="H23" s="120"/>
      <c r="J23" s="213"/>
      <c r="L23" s="120"/>
      <c r="N23" s="213"/>
      <c r="P23" s="120"/>
      <c r="R23" s="213"/>
      <c r="T23" s="120"/>
      <c r="V23" s="103"/>
      <c r="X23" s="120"/>
      <c r="AB23" s="120"/>
      <c r="AF23" s="120"/>
      <c r="AG23" s="120"/>
    </row>
    <row r="24" spans="3:148" x14ac:dyDescent="0.25">
      <c r="D24" s="120"/>
      <c r="F24" s="213"/>
      <c r="H24" s="120"/>
      <c r="J24" s="213"/>
      <c r="L24" s="120"/>
      <c r="N24" s="213"/>
      <c r="P24" s="120"/>
      <c r="R24" s="213"/>
      <c r="T24" s="120"/>
      <c r="V24" s="103"/>
      <c r="X24" s="120"/>
      <c r="AB24" s="120"/>
      <c r="AF24" s="120"/>
      <c r="AG24" s="120"/>
      <c r="AM24" s="111"/>
    </row>
    <row r="25" spans="3:148" x14ac:dyDescent="0.25">
      <c r="D25" s="120"/>
      <c r="F25" s="213"/>
      <c r="H25" s="120"/>
      <c r="J25" s="213"/>
      <c r="L25" s="120"/>
      <c r="N25" s="213"/>
      <c r="P25" s="120"/>
      <c r="R25" s="213"/>
      <c r="T25" s="120"/>
      <c r="V25" s="103"/>
      <c r="X25" s="120"/>
      <c r="AB25" s="120"/>
      <c r="AF25" s="120"/>
      <c r="AG25" s="120"/>
    </row>
    <row r="26" spans="3:148" x14ac:dyDescent="0.25">
      <c r="D26" s="120"/>
      <c r="H26" s="120"/>
      <c r="L26" s="120"/>
      <c r="P26" s="120"/>
      <c r="T26" s="120"/>
      <c r="X26" s="120"/>
      <c r="AB26" s="120"/>
      <c r="AF26" s="120"/>
      <c r="AG26" s="120"/>
    </row>
    <row r="27" spans="3:148" x14ac:dyDescent="0.25">
      <c r="D27" s="120"/>
      <c r="H27" s="120"/>
      <c r="L27" s="120"/>
      <c r="P27" s="120"/>
      <c r="T27" s="120"/>
      <c r="X27" s="120"/>
      <c r="AB27" s="120"/>
      <c r="AF27" s="120"/>
      <c r="AG27" s="120"/>
    </row>
    <row r="28" spans="3:148" x14ac:dyDescent="0.25">
      <c r="D28" s="120"/>
      <c r="H28" s="120"/>
      <c r="L28" s="120"/>
      <c r="P28" s="120"/>
      <c r="T28" s="120"/>
      <c r="X28" s="120"/>
      <c r="AB28" s="120"/>
      <c r="AF28" s="120"/>
      <c r="AG28" s="120"/>
    </row>
    <row r="29" spans="3:148" x14ac:dyDescent="0.25">
      <c r="D29" s="120"/>
      <c r="H29" s="120"/>
      <c r="L29" s="120"/>
      <c r="P29" s="120"/>
      <c r="T29" s="120"/>
      <c r="X29" s="120"/>
      <c r="AB29" s="120"/>
      <c r="AF29" s="120"/>
      <c r="AG29" s="120"/>
    </row>
    <row r="30" spans="3:148" x14ac:dyDescent="0.25">
      <c r="D30" s="120"/>
      <c r="H30" s="120"/>
      <c r="L30" s="120"/>
      <c r="P30" s="120"/>
      <c r="T30" s="120"/>
      <c r="X30" s="120"/>
      <c r="AB30" s="120"/>
      <c r="AF30" s="120"/>
      <c r="AG30" s="120"/>
    </row>
    <row r="31" spans="3:148" x14ac:dyDescent="0.25">
      <c r="D31" s="120"/>
      <c r="H31" s="120"/>
      <c r="L31" s="120"/>
      <c r="P31" s="120"/>
      <c r="T31" s="120"/>
      <c r="X31" s="120"/>
      <c r="AB31" s="120"/>
      <c r="AF31" s="120"/>
      <c r="AG31" s="120"/>
    </row>
    <row r="32" spans="3:148" x14ac:dyDescent="0.25">
      <c r="D32" s="120"/>
      <c r="H32" s="120"/>
      <c r="L32" s="120"/>
      <c r="P32" s="120"/>
      <c r="T32" s="120"/>
      <c r="X32" s="120"/>
      <c r="AB32" s="120"/>
      <c r="AF32" s="120"/>
      <c r="AG32" s="120"/>
    </row>
    <row r="33" spans="4:33" x14ac:dyDescent="0.25">
      <c r="D33" s="120"/>
      <c r="H33" s="120"/>
      <c r="L33" s="120"/>
      <c r="P33" s="120"/>
      <c r="T33" s="120"/>
      <c r="X33" s="120"/>
      <c r="AB33" s="120"/>
      <c r="AF33" s="120"/>
      <c r="AG33" s="120"/>
    </row>
    <row r="34" spans="4:33" x14ac:dyDescent="0.25">
      <c r="D34" s="120"/>
      <c r="H34" s="120"/>
      <c r="L34" s="120"/>
      <c r="P34" s="120"/>
      <c r="T34" s="120"/>
      <c r="X34" s="120"/>
      <c r="AB34" s="120"/>
      <c r="AF34" s="120"/>
      <c r="AG34" s="120"/>
    </row>
    <row r="35" spans="4:33" x14ac:dyDescent="0.25">
      <c r="D35" s="120"/>
      <c r="H35" s="120"/>
      <c r="L35" s="120"/>
      <c r="P35" s="120"/>
      <c r="T35" s="120"/>
      <c r="X35" s="120"/>
      <c r="AB35" s="120"/>
      <c r="AF35" s="120"/>
      <c r="AG35" s="120"/>
    </row>
    <row r="36" spans="4:33" x14ac:dyDescent="0.25">
      <c r="D36" s="120"/>
      <c r="H36" s="120"/>
      <c r="L36" s="120"/>
      <c r="P36" s="120"/>
      <c r="T36" s="120"/>
      <c r="X36" s="120"/>
      <c r="AB36" s="120"/>
      <c r="AF36" s="120"/>
      <c r="AG36" s="120"/>
    </row>
    <row r="37" spans="4:33" x14ac:dyDescent="0.25">
      <c r="D37" s="120"/>
      <c r="H37" s="120"/>
      <c r="L37" s="120"/>
      <c r="P37" s="120"/>
      <c r="T37" s="120"/>
      <c r="X37" s="120"/>
      <c r="AB37" s="120"/>
      <c r="AF37" s="120"/>
      <c r="AG37" s="120"/>
    </row>
    <row r="38" spans="4:33" x14ac:dyDescent="0.25">
      <c r="D38" s="120"/>
      <c r="H38" s="120"/>
      <c r="L38" s="120"/>
      <c r="P38" s="120"/>
      <c r="T38" s="120"/>
      <c r="X38" s="120"/>
      <c r="AB38" s="120"/>
      <c r="AF38" s="120"/>
      <c r="AG38" s="120"/>
    </row>
    <row r="39" spans="4:33" x14ac:dyDescent="0.25">
      <c r="D39" s="120"/>
      <c r="H39" s="120"/>
      <c r="L39" s="120"/>
      <c r="P39" s="120"/>
      <c r="T39" s="120"/>
      <c r="X39" s="120"/>
      <c r="AB39" s="120"/>
      <c r="AF39" s="120"/>
      <c r="AG39" s="120"/>
    </row>
    <row r="40" spans="4:33" x14ac:dyDescent="0.25">
      <c r="D40" s="120"/>
      <c r="H40" s="120"/>
      <c r="L40" s="120"/>
      <c r="P40" s="120"/>
      <c r="T40" s="120"/>
      <c r="X40" s="120"/>
      <c r="AB40" s="120"/>
      <c r="AF40" s="120"/>
      <c r="AG40" s="120"/>
    </row>
    <row r="41" spans="4:33" x14ac:dyDescent="0.25">
      <c r="D41" s="120"/>
      <c r="H41" s="120"/>
      <c r="L41" s="120"/>
      <c r="P41" s="120"/>
      <c r="T41" s="120"/>
      <c r="X41" s="120"/>
      <c r="AB41" s="120"/>
      <c r="AF41" s="120"/>
      <c r="AG41" s="120"/>
    </row>
    <row r="42" spans="4:33" x14ac:dyDescent="0.25">
      <c r="D42" s="120"/>
      <c r="H42" s="120"/>
      <c r="L42" s="120"/>
      <c r="P42" s="120"/>
      <c r="T42" s="120"/>
      <c r="X42" s="120"/>
      <c r="AB42" s="120"/>
      <c r="AF42" s="120"/>
      <c r="AG42" s="120"/>
    </row>
    <row r="43" spans="4:33" x14ac:dyDescent="0.25">
      <c r="D43" s="120"/>
      <c r="H43" s="120"/>
      <c r="L43" s="120"/>
      <c r="P43" s="120"/>
      <c r="T43" s="120"/>
      <c r="X43" s="120"/>
      <c r="AB43" s="120"/>
      <c r="AF43" s="120"/>
      <c r="AG43" s="120"/>
    </row>
    <row r="44" spans="4:33" x14ac:dyDescent="0.25">
      <c r="D44" s="120"/>
      <c r="H44" s="120"/>
      <c r="L44" s="120"/>
      <c r="P44" s="120"/>
      <c r="T44" s="120"/>
      <c r="X44" s="120"/>
      <c r="AB44" s="120"/>
      <c r="AF44" s="120"/>
      <c r="AG44" s="120"/>
    </row>
    <row r="45" spans="4:33" x14ac:dyDescent="0.25">
      <c r="D45" s="120"/>
      <c r="H45" s="120"/>
      <c r="L45" s="120"/>
      <c r="P45" s="120"/>
      <c r="T45" s="120"/>
      <c r="X45" s="120"/>
      <c r="AB45" s="120"/>
      <c r="AF45" s="120"/>
      <c r="AG45" s="120"/>
    </row>
    <row r="46" spans="4:33" x14ac:dyDescent="0.25">
      <c r="D46" s="120"/>
      <c r="H46" s="120"/>
      <c r="L46" s="120"/>
      <c r="P46" s="120"/>
      <c r="T46" s="120"/>
      <c r="X46" s="120"/>
      <c r="AB46" s="120"/>
      <c r="AF46" s="120"/>
      <c r="AG46" s="120"/>
    </row>
    <row r="47" spans="4:33" x14ac:dyDescent="0.25">
      <c r="D47" s="120"/>
      <c r="H47" s="120"/>
      <c r="L47" s="120"/>
      <c r="P47" s="120"/>
      <c r="T47" s="120"/>
      <c r="X47" s="120"/>
      <c r="AB47" s="120"/>
      <c r="AF47" s="120"/>
      <c r="AG47" s="120"/>
    </row>
    <row r="48" spans="4:33" x14ac:dyDescent="0.25">
      <c r="D48" s="120"/>
      <c r="H48" s="120"/>
      <c r="L48" s="120"/>
      <c r="P48" s="120"/>
      <c r="T48" s="120"/>
      <c r="X48" s="120"/>
      <c r="AB48" s="120"/>
      <c r="AF48" s="120"/>
      <c r="AG48" s="120"/>
    </row>
    <row r="49" spans="4:33" x14ac:dyDescent="0.25">
      <c r="D49" s="120"/>
      <c r="H49" s="120"/>
      <c r="L49" s="120"/>
      <c r="P49" s="120"/>
      <c r="T49" s="120"/>
      <c r="X49" s="120"/>
      <c r="AB49" s="120"/>
      <c r="AF49" s="120"/>
      <c r="AG49" s="120"/>
    </row>
    <row r="50" spans="4:33" x14ac:dyDescent="0.25">
      <c r="D50" s="120"/>
      <c r="H50" s="120"/>
      <c r="L50" s="120"/>
      <c r="P50" s="120"/>
      <c r="T50" s="120"/>
      <c r="X50" s="120"/>
      <c r="AB50" s="120"/>
      <c r="AF50" s="120"/>
      <c r="AG50" s="120"/>
    </row>
    <row r="51" spans="4:33" x14ac:dyDescent="0.25">
      <c r="D51" s="120"/>
      <c r="H51" s="120"/>
      <c r="L51" s="120"/>
      <c r="P51" s="120"/>
      <c r="T51" s="120"/>
      <c r="X51" s="120"/>
      <c r="AB51" s="120"/>
      <c r="AF51" s="120"/>
      <c r="AG51" s="120"/>
    </row>
    <row r="52" spans="4:33" x14ac:dyDescent="0.25">
      <c r="D52" s="120"/>
      <c r="H52" s="120"/>
      <c r="L52" s="120"/>
      <c r="P52" s="120"/>
      <c r="T52" s="120"/>
      <c r="X52" s="120"/>
      <c r="AB52" s="120"/>
      <c r="AF52" s="120"/>
      <c r="AG52" s="120"/>
    </row>
    <row r="53" spans="4:33" x14ac:dyDescent="0.25">
      <c r="D53" s="120"/>
      <c r="H53" s="120"/>
      <c r="L53" s="120"/>
      <c r="P53" s="120"/>
      <c r="T53" s="120"/>
      <c r="X53" s="120"/>
      <c r="AB53" s="120"/>
      <c r="AF53" s="120"/>
      <c r="AG53" s="120"/>
    </row>
    <row r="54" spans="4:33" x14ac:dyDescent="0.25">
      <c r="D54" s="120"/>
      <c r="H54" s="120"/>
      <c r="L54" s="120"/>
      <c r="P54" s="120"/>
      <c r="T54" s="120"/>
      <c r="X54" s="120"/>
      <c r="AB54" s="120"/>
      <c r="AF54" s="120"/>
      <c r="AG54" s="120"/>
    </row>
    <row r="55" spans="4:33" x14ac:dyDescent="0.25">
      <c r="D55" s="120"/>
      <c r="H55" s="120"/>
      <c r="L55" s="120"/>
      <c r="P55" s="120"/>
      <c r="T55" s="120"/>
      <c r="X55" s="120"/>
      <c r="AB55" s="120"/>
      <c r="AF55" s="120"/>
      <c r="AG55" s="120"/>
    </row>
    <row r="56" spans="4:33" x14ac:dyDescent="0.25">
      <c r="D56" s="120"/>
      <c r="H56" s="120"/>
      <c r="L56" s="120"/>
      <c r="P56" s="120"/>
      <c r="T56" s="120"/>
      <c r="X56" s="120"/>
      <c r="AB56" s="120"/>
      <c r="AF56" s="120"/>
      <c r="AG56" s="120"/>
    </row>
    <row r="57" spans="4:33" x14ac:dyDescent="0.25">
      <c r="D57" s="120"/>
      <c r="H57" s="120"/>
      <c r="L57" s="120"/>
      <c r="P57" s="120"/>
      <c r="T57" s="120"/>
      <c r="X57" s="120"/>
      <c r="AB57" s="120"/>
      <c r="AF57" s="120"/>
      <c r="AG57" s="120"/>
    </row>
    <row r="58" spans="4:33" x14ac:dyDescent="0.25">
      <c r="D58" s="120"/>
      <c r="H58" s="120"/>
      <c r="L58" s="120"/>
      <c r="P58" s="120"/>
      <c r="T58" s="120"/>
      <c r="X58" s="120"/>
      <c r="AB58" s="120"/>
      <c r="AF58" s="120"/>
      <c r="AG58" s="120"/>
    </row>
    <row r="59" spans="4:33" x14ac:dyDescent="0.25">
      <c r="D59" s="120"/>
      <c r="H59" s="120"/>
      <c r="L59" s="120"/>
      <c r="P59" s="120"/>
      <c r="T59" s="120"/>
      <c r="X59" s="120"/>
      <c r="AB59" s="120"/>
      <c r="AF59" s="120"/>
      <c r="AG59" s="120"/>
    </row>
    <row r="60" spans="4:33" x14ac:dyDescent="0.25">
      <c r="D60" s="120"/>
      <c r="H60" s="120"/>
      <c r="L60" s="120"/>
      <c r="P60" s="120"/>
      <c r="T60" s="120"/>
      <c r="X60" s="120"/>
      <c r="AB60" s="120"/>
      <c r="AF60" s="120"/>
      <c r="AG60" s="120"/>
    </row>
    <row r="61" spans="4:33" x14ac:dyDescent="0.25">
      <c r="D61" s="120"/>
      <c r="H61" s="120"/>
      <c r="L61" s="120"/>
      <c r="P61" s="120"/>
      <c r="T61" s="120"/>
      <c r="X61" s="120"/>
      <c r="AB61" s="120"/>
      <c r="AF61" s="120"/>
      <c r="AG61" s="120"/>
    </row>
    <row r="62" spans="4:33" x14ac:dyDescent="0.25">
      <c r="D62" s="120"/>
      <c r="H62" s="120"/>
      <c r="L62" s="120"/>
      <c r="P62" s="120"/>
      <c r="T62" s="120"/>
      <c r="X62" s="120"/>
      <c r="AB62" s="120"/>
      <c r="AF62" s="120"/>
      <c r="AG62" s="120"/>
    </row>
    <row r="63" spans="4:33" x14ac:dyDescent="0.25">
      <c r="D63" s="120"/>
      <c r="H63" s="120"/>
      <c r="L63" s="120"/>
      <c r="P63" s="120"/>
      <c r="T63" s="120"/>
      <c r="X63" s="120"/>
      <c r="AB63" s="120"/>
      <c r="AF63" s="120"/>
      <c r="AG63" s="120"/>
    </row>
    <row r="64" spans="4:33" x14ac:dyDescent="0.25">
      <c r="D64" s="120"/>
      <c r="H64" s="120"/>
      <c r="L64" s="120"/>
      <c r="P64" s="120"/>
      <c r="T64" s="120"/>
      <c r="X64" s="120"/>
      <c r="AB64" s="120"/>
      <c r="AF64" s="120"/>
      <c r="AG64" s="120"/>
    </row>
    <row r="65" spans="4:33" x14ac:dyDescent="0.25">
      <c r="D65" s="120"/>
      <c r="H65" s="120"/>
      <c r="L65" s="120"/>
      <c r="P65" s="120"/>
      <c r="T65" s="120"/>
      <c r="X65" s="120"/>
      <c r="AB65" s="120"/>
      <c r="AF65" s="120"/>
      <c r="AG65" s="120"/>
    </row>
    <row r="66" spans="4:33" x14ac:dyDescent="0.25">
      <c r="D66" s="120"/>
      <c r="H66" s="120"/>
      <c r="L66" s="120"/>
      <c r="P66" s="120"/>
      <c r="T66" s="120"/>
      <c r="X66" s="120"/>
      <c r="AB66" s="120"/>
      <c r="AF66" s="120"/>
      <c r="AG66" s="120"/>
    </row>
    <row r="67" spans="4:33" x14ac:dyDescent="0.25">
      <c r="D67" s="120"/>
      <c r="H67" s="120"/>
      <c r="L67" s="120"/>
      <c r="P67" s="120"/>
      <c r="T67" s="120"/>
      <c r="X67" s="120"/>
      <c r="AB67" s="120"/>
      <c r="AF67" s="120"/>
      <c r="AG67" s="120"/>
    </row>
    <row r="68" spans="4:33" x14ac:dyDescent="0.25">
      <c r="D68" s="120"/>
      <c r="H68" s="120"/>
      <c r="L68" s="120"/>
      <c r="P68" s="120"/>
      <c r="T68" s="120"/>
      <c r="X68" s="120"/>
      <c r="AB68" s="120"/>
      <c r="AF68" s="120"/>
      <c r="AG68" s="120"/>
    </row>
    <row r="69" spans="4:33" x14ac:dyDescent="0.25">
      <c r="D69" s="120"/>
      <c r="H69" s="120"/>
      <c r="L69" s="120"/>
      <c r="P69" s="120"/>
      <c r="T69" s="120"/>
      <c r="X69" s="120"/>
      <c r="AB69" s="120"/>
      <c r="AF69" s="120"/>
      <c r="AG69" s="120"/>
    </row>
    <row r="70" spans="4:33" x14ac:dyDescent="0.25">
      <c r="D70" s="120"/>
      <c r="H70" s="120"/>
      <c r="L70" s="120"/>
      <c r="P70" s="120"/>
      <c r="T70" s="120"/>
      <c r="X70" s="120"/>
      <c r="AB70" s="120"/>
      <c r="AF70" s="120"/>
      <c r="AG70" s="120"/>
    </row>
    <row r="71" spans="4:33" x14ac:dyDescent="0.25">
      <c r="D71" s="120"/>
      <c r="H71" s="120"/>
      <c r="L71" s="120"/>
      <c r="P71" s="120"/>
      <c r="T71" s="120"/>
      <c r="X71" s="120"/>
      <c r="AB71" s="120"/>
      <c r="AF71" s="120"/>
      <c r="AG71" s="120"/>
    </row>
    <row r="72" spans="4:33" x14ac:dyDescent="0.25">
      <c r="D72" s="120"/>
      <c r="H72" s="120"/>
      <c r="L72" s="120"/>
      <c r="P72" s="120"/>
      <c r="T72" s="120"/>
      <c r="X72" s="120"/>
      <c r="AB72" s="120"/>
      <c r="AF72" s="120"/>
      <c r="AG72" s="120"/>
    </row>
    <row r="73" spans="4:33" x14ac:dyDescent="0.25">
      <c r="D73" s="120"/>
      <c r="H73" s="120"/>
      <c r="L73" s="120"/>
      <c r="P73" s="120"/>
      <c r="T73" s="120"/>
      <c r="X73" s="120"/>
      <c r="AB73" s="120"/>
      <c r="AF73" s="120"/>
      <c r="AG73" s="120"/>
    </row>
    <row r="74" spans="4:33" x14ac:dyDescent="0.25">
      <c r="D74" s="120"/>
      <c r="H74" s="120"/>
      <c r="L74" s="120"/>
      <c r="P74" s="120"/>
      <c r="T74" s="120"/>
      <c r="X74" s="120"/>
      <c r="AB74" s="120"/>
      <c r="AF74" s="120"/>
      <c r="AG74" s="120"/>
    </row>
    <row r="75" spans="4:33" x14ac:dyDescent="0.25">
      <c r="D75" s="120"/>
      <c r="H75" s="120"/>
      <c r="L75" s="120"/>
      <c r="P75" s="120"/>
      <c r="T75" s="120"/>
      <c r="X75" s="120"/>
      <c r="AB75" s="120"/>
      <c r="AF75" s="120"/>
      <c r="AG75" s="120"/>
    </row>
    <row r="76" spans="4:33" x14ac:dyDescent="0.25">
      <c r="D76" s="120"/>
      <c r="H76" s="120"/>
      <c r="L76" s="120"/>
      <c r="P76" s="120"/>
      <c r="T76" s="120"/>
      <c r="X76" s="120"/>
      <c r="AB76" s="120"/>
      <c r="AF76" s="120"/>
      <c r="AG76" s="120"/>
    </row>
    <row r="77" spans="4:33" x14ac:dyDescent="0.25">
      <c r="D77" s="120"/>
      <c r="H77" s="120"/>
      <c r="L77" s="120"/>
      <c r="P77" s="120"/>
      <c r="T77" s="120"/>
      <c r="X77" s="120"/>
      <c r="AB77" s="120"/>
      <c r="AF77" s="120"/>
      <c r="AG77" s="120"/>
    </row>
    <row r="78" spans="4:33" x14ac:dyDescent="0.25">
      <c r="D78" s="120"/>
      <c r="H78" s="120"/>
      <c r="L78" s="120"/>
      <c r="P78" s="120"/>
      <c r="T78" s="120"/>
      <c r="X78" s="120"/>
      <c r="AB78" s="120"/>
      <c r="AF78" s="120"/>
      <c r="AG78" s="120"/>
    </row>
    <row r="79" spans="4:33" x14ac:dyDescent="0.25">
      <c r="D79" s="120"/>
      <c r="H79" s="120"/>
      <c r="L79" s="120"/>
      <c r="P79" s="120"/>
      <c r="T79" s="120"/>
      <c r="X79" s="120"/>
      <c r="AB79" s="120"/>
      <c r="AF79" s="120"/>
      <c r="AG79" s="120"/>
    </row>
    <row r="80" spans="4:33" x14ac:dyDescent="0.25">
      <c r="D80" s="120"/>
      <c r="H80" s="120"/>
      <c r="L80" s="120"/>
      <c r="P80" s="120"/>
      <c r="T80" s="120"/>
      <c r="X80" s="120"/>
      <c r="AB80" s="120"/>
      <c r="AF80" s="120"/>
      <c r="AG80" s="120"/>
    </row>
    <row r="81" spans="4:33" x14ac:dyDescent="0.25">
      <c r="D81" s="120"/>
      <c r="H81" s="120"/>
      <c r="L81" s="120"/>
      <c r="P81" s="120"/>
      <c r="T81" s="120"/>
      <c r="X81" s="120"/>
      <c r="AB81" s="120"/>
      <c r="AF81" s="120"/>
      <c r="AG81" s="120"/>
    </row>
    <row r="82" spans="4:33" x14ac:dyDescent="0.25">
      <c r="D82" s="120"/>
      <c r="H82" s="120"/>
      <c r="L82" s="120"/>
      <c r="P82" s="120"/>
      <c r="T82" s="120"/>
      <c r="X82" s="120"/>
      <c r="AB82" s="120"/>
      <c r="AF82" s="120"/>
      <c r="AG82" s="120"/>
    </row>
    <row r="83" spans="4:33" x14ac:dyDescent="0.25">
      <c r="D83" s="120"/>
      <c r="H83" s="120"/>
      <c r="L83" s="120"/>
      <c r="P83" s="120"/>
      <c r="T83" s="120"/>
      <c r="X83" s="120"/>
      <c r="AB83" s="120"/>
      <c r="AF83" s="120"/>
      <c r="AG83" s="120"/>
    </row>
    <row r="84" spans="4:33" x14ac:dyDescent="0.25">
      <c r="D84" s="120"/>
      <c r="H84" s="120"/>
      <c r="L84" s="120"/>
      <c r="P84" s="120"/>
      <c r="T84" s="120"/>
      <c r="X84" s="120"/>
      <c r="AB84" s="120"/>
      <c r="AF84" s="120"/>
      <c r="AG84" s="120"/>
    </row>
    <row r="85" spans="4:33" x14ac:dyDescent="0.25">
      <c r="D85" s="120"/>
      <c r="H85" s="120"/>
      <c r="L85" s="120"/>
      <c r="P85" s="120"/>
      <c r="T85" s="120"/>
      <c r="X85" s="120"/>
      <c r="AB85" s="120"/>
      <c r="AF85" s="120"/>
      <c r="AG85" s="120"/>
    </row>
    <row r="86" spans="4:33" x14ac:dyDescent="0.25">
      <c r="D86" s="120"/>
      <c r="H86" s="120"/>
      <c r="L86" s="120"/>
      <c r="P86" s="120"/>
      <c r="T86" s="120"/>
      <c r="X86" s="120"/>
      <c r="AB86" s="120"/>
      <c r="AF86" s="120"/>
      <c r="AG86" s="120"/>
    </row>
    <row r="87" spans="4:33" x14ac:dyDescent="0.25">
      <c r="D87" s="120"/>
      <c r="H87" s="120"/>
      <c r="L87" s="120"/>
      <c r="P87" s="120"/>
      <c r="T87" s="120"/>
      <c r="X87" s="120"/>
      <c r="AB87" s="120"/>
      <c r="AF87" s="120"/>
      <c r="AG87" s="120"/>
    </row>
    <row r="88" spans="4:33" x14ac:dyDescent="0.25">
      <c r="D88" s="120"/>
      <c r="H88" s="120"/>
      <c r="L88" s="120"/>
      <c r="P88" s="120"/>
      <c r="T88" s="120"/>
      <c r="X88" s="120"/>
      <c r="AB88" s="120"/>
      <c r="AF88" s="120"/>
      <c r="AG88" s="120"/>
    </row>
    <row r="89" spans="4:33" x14ac:dyDescent="0.25">
      <c r="D89" s="120"/>
      <c r="H89" s="120"/>
      <c r="L89" s="120"/>
      <c r="P89" s="120"/>
      <c r="T89" s="120"/>
      <c r="X89" s="120"/>
      <c r="AB89" s="120"/>
      <c r="AF89" s="120"/>
      <c r="AG89" s="120"/>
    </row>
    <row r="90" spans="4:33" x14ac:dyDescent="0.25">
      <c r="D90" s="120"/>
      <c r="H90" s="120"/>
      <c r="L90" s="120"/>
      <c r="P90" s="120"/>
      <c r="T90" s="120"/>
      <c r="X90" s="120"/>
      <c r="AB90" s="120"/>
      <c r="AF90" s="120"/>
      <c r="AG90" s="120"/>
    </row>
    <row r="91" spans="4:33" x14ac:dyDescent="0.25">
      <c r="D91" s="120"/>
      <c r="H91" s="120"/>
      <c r="L91" s="120"/>
      <c r="P91" s="120"/>
      <c r="T91" s="120"/>
      <c r="X91" s="120"/>
      <c r="AB91" s="120"/>
      <c r="AF91" s="120"/>
      <c r="AG91" s="120"/>
    </row>
    <row r="92" spans="4:33" x14ac:dyDescent="0.25">
      <c r="D92" s="120"/>
      <c r="H92" s="120"/>
      <c r="L92" s="120"/>
      <c r="P92" s="120"/>
      <c r="T92" s="120"/>
      <c r="X92" s="120"/>
      <c r="AB92" s="120"/>
      <c r="AF92" s="120"/>
      <c r="AG92" s="120"/>
    </row>
    <row r="93" spans="4:33" x14ac:dyDescent="0.25">
      <c r="D93" s="120"/>
      <c r="H93" s="120"/>
      <c r="L93" s="120"/>
      <c r="P93" s="120"/>
      <c r="T93" s="120"/>
      <c r="X93" s="120"/>
      <c r="AB93" s="120"/>
      <c r="AF93" s="120"/>
      <c r="AG93" s="120"/>
    </row>
    <row r="94" spans="4:33" x14ac:dyDescent="0.25">
      <c r="D94" s="120"/>
      <c r="H94" s="120"/>
      <c r="L94" s="120"/>
      <c r="P94" s="120"/>
      <c r="T94" s="120"/>
      <c r="X94" s="120"/>
      <c r="AB94" s="120"/>
      <c r="AF94" s="120"/>
      <c r="AG94" s="120"/>
    </row>
    <row r="95" spans="4:33" x14ac:dyDescent="0.25">
      <c r="D95" s="120"/>
      <c r="H95" s="120"/>
      <c r="L95" s="120"/>
      <c r="P95" s="120"/>
      <c r="T95" s="120"/>
      <c r="X95" s="120"/>
      <c r="AB95" s="120"/>
      <c r="AF95" s="120"/>
      <c r="AG95" s="120"/>
    </row>
    <row r="96" spans="4:33" x14ac:dyDescent="0.25">
      <c r="D96" s="120"/>
      <c r="H96" s="120"/>
      <c r="L96" s="120"/>
      <c r="P96" s="120"/>
      <c r="T96" s="120"/>
      <c r="X96" s="120"/>
      <c r="AB96" s="120"/>
      <c r="AF96" s="120"/>
      <c r="AG96" s="120"/>
    </row>
    <row r="97" spans="4:33" x14ac:dyDescent="0.25">
      <c r="D97" s="120"/>
      <c r="H97" s="120"/>
      <c r="L97" s="120"/>
      <c r="P97" s="120"/>
      <c r="T97" s="120"/>
      <c r="X97" s="120"/>
      <c r="AB97" s="120"/>
      <c r="AF97" s="120"/>
      <c r="AG97" s="120"/>
    </row>
    <row r="98" spans="4:33" x14ac:dyDescent="0.25">
      <c r="D98" s="120"/>
      <c r="H98" s="120"/>
      <c r="L98" s="120"/>
      <c r="P98" s="120"/>
      <c r="T98" s="120"/>
      <c r="X98" s="120"/>
      <c r="AB98" s="120"/>
      <c r="AF98" s="120"/>
      <c r="AG98" s="120"/>
    </row>
    <row r="99" spans="4:33" x14ac:dyDescent="0.25">
      <c r="D99" s="120"/>
      <c r="H99" s="120"/>
      <c r="L99" s="120"/>
      <c r="P99" s="120"/>
      <c r="T99" s="120"/>
      <c r="X99" s="120"/>
      <c r="AB99" s="120"/>
      <c r="AF99" s="120"/>
      <c r="AG99" s="120"/>
    </row>
    <row r="100" spans="4:33" x14ac:dyDescent="0.25">
      <c r="D100" s="120"/>
      <c r="H100" s="120"/>
      <c r="L100" s="120"/>
      <c r="P100" s="120"/>
      <c r="T100" s="120"/>
      <c r="X100" s="120"/>
      <c r="AB100" s="120"/>
      <c r="AF100" s="120"/>
      <c r="AG100" s="120"/>
    </row>
    <row r="101" spans="4:33" x14ac:dyDescent="0.25">
      <c r="D101" s="120"/>
      <c r="H101" s="120"/>
      <c r="L101" s="120"/>
      <c r="P101" s="120"/>
      <c r="T101" s="120"/>
      <c r="X101" s="120"/>
      <c r="AB101" s="120"/>
      <c r="AF101" s="120"/>
      <c r="AG101" s="120"/>
    </row>
    <row r="102" spans="4:33" x14ac:dyDescent="0.25">
      <c r="D102" s="120"/>
      <c r="H102" s="120"/>
      <c r="L102" s="120"/>
      <c r="P102" s="120"/>
      <c r="T102" s="120"/>
      <c r="X102" s="120"/>
      <c r="AB102" s="120"/>
      <c r="AF102" s="120"/>
      <c r="AG102" s="120"/>
    </row>
    <row r="103" spans="4:33" x14ac:dyDescent="0.25">
      <c r="D103" s="120"/>
      <c r="H103" s="120"/>
      <c r="L103" s="120"/>
      <c r="P103" s="120"/>
      <c r="T103" s="120"/>
      <c r="X103" s="120"/>
      <c r="AB103" s="120"/>
      <c r="AF103" s="120"/>
      <c r="AG103" s="120"/>
    </row>
    <row r="104" spans="4:33" x14ac:dyDescent="0.25">
      <c r="D104" s="120"/>
      <c r="H104" s="120"/>
      <c r="L104" s="120"/>
      <c r="P104" s="120"/>
      <c r="T104" s="120"/>
      <c r="X104" s="120"/>
      <c r="AB104" s="120"/>
      <c r="AF104" s="120"/>
      <c r="AG104" s="120"/>
    </row>
    <row r="105" spans="4:33" x14ac:dyDescent="0.25">
      <c r="D105" s="120"/>
      <c r="H105" s="120"/>
      <c r="L105" s="120"/>
      <c r="P105" s="120"/>
      <c r="T105" s="120"/>
      <c r="X105" s="120"/>
      <c r="AB105" s="120"/>
      <c r="AF105" s="120"/>
      <c r="AG105" s="120"/>
    </row>
    <row r="106" spans="4:33" x14ac:dyDescent="0.25">
      <c r="D106" s="120"/>
      <c r="H106" s="120"/>
      <c r="L106" s="120"/>
      <c r="P106" s="120"/>
      <c r="T106" s="120"/>
      <c r="X106" s="120"/>
      <c r="AB106" s="120"/>
      <c r="AF106" s="120"/>
      <c r="AG106" s="120"/>
    </row>
    <row r="107" spans="4:33" x14ac:dyDescent="0.25">
      <c r="D107" s="120"/>
      <c r="H107" s="120"/>
      <c r="L107" s="120"/>
      <c r="P107" s="120"/>
      <c r="T107" s="120"/>
      <c r="X107" s="120"/>
      <c r="AB107" s="120"/>
      <c r="AF107" s="120"/>
      <c r="AG107" s="120"/>
    </row>
    <row r="108" spans="4:33" x14ac:dyDescent="0.25">
      <c r="D108" s="120"/>
      <c r="H108" s="120"/>
      <c r="L108" s="120"/>
      <c r="P108" s="120"/>
      <c r="T108" s="120"/>
      <c r="X108" s="120"/>
      <c r="AB108" s="120"/>
      <c r="AF108" s="120"/>
      <c r="AG108" s="120"/>
    </row>
    <row r="109" spans="4:33" x14ac:dyDescent="0.25">
      <c r="D109" s="120"/>
      <c r="H109" s="120"/>
      <c r="L109" s="120"/>
      <c r="P109" s="120"/>
      <c r="T109" s="120"/>
      <c r="X109" s="120"/>
      <c r="AB109" s="120"/>
      <c r="AF109" s="120"/>
      <c r="AG109" s="120"/>
    </row>
    <row r="110" spans="4:33" x14ac:dyDescent="0.25">
      <c r="D110" s="120"/>
      <c r="H110" s="120"/>
      <c r="L110" s="120"/>
      <c r="P110" s="120"/>
      <c r="T110" s="120"/>
      <c r="X110" s="120"/>
      <c r="AB110" s="120"/>
      <c r="AF110" s="120"/>
      <c r="AG110" s="120"/>
    </row>
    <row r="111" spans="4:33" x14ac:dyDescent="0.25">
      <c r="D111" s="120"/>
      <c r="H111" s="120"/>
      <c r="L111" s="120"/>
      <c r="P111" s="120"/>
      <c r="T111" s="120"/>
      <c r="X111" s="120"/>
      <c r="AB111" s="120"/>
      <c r="AF111" s="120"/>
      <c r="AG111" s="120"/>
    </row>
    <row r="112" spans="4:33" x14ac:dyDescent="0.25">
      <c r="D112" s="120"/>
      <c r="H112" s="120"/>
      <c r="L112" s="120"/>
      <c r="P112" s="120"/>
      <c r="T112" s="120"/>
      <c r="X112" s="120"/>
      <c r="AB112" s="120"/>
      <c r="AF112" s="120"/>
      <c r="AG112" s="120"/>
    </row>
    <row r="113" spans="4:33" x14ac:dyDescent="0.25">
      <c r="D113" s="120"/>
      <c r="H113" s="120"/>
      <c r="L113" s="120"/>
      <c r="P113" s="120"/>
      <c r="T113" s="120"/>
      <c r="X113" s="120"/>
      <c r="AB113" s="120"/>
      <c r="AF113" s="120"/>
      <c r="AG113" s="120"/>
    </row>
    <row r="114" spans="4:33" x14ac:dyDescent="0.25">
      <c r="D114" s="120"/>
      <c r="H114" s="120"/>
      <c r="L114" s="120"/>
      <c r="P114" s="120"/>
      <c r="T114" s="120"/>
      <c r="X114" s="120"/>
      <c r="AB114" s="120"/>
      <c r="AF114" s="120"/>
      <c r="AG114" s="120"/>
    </row>
    <row r="115" spans="4:33" x14ac:dyDescent="0.25">
      <c r="D115" s="120"/>
      <c r="H115" s="120"/>
      <c r="L115" s="120"/>
      <c r="P115" s="120"/>
      <c r="T115" s="120"/>
      <c r="X115" s="120"/>
      <c r="AB115" s="120"/>
      <c r="AF115" s="120"/>
      <c r="AG115" s="120"/>
    </row>
    <row r="116" spans="4:33" x14ac:dyDescent="0.25">
      <c r="D116" s="120"/>
      <c r="H116" s="120"/>
      <c r="L116" s="120"/>
      <c r="P116" s="120"/>
      <c r="T116" s="120"/>
      <c r="X116" s="120"/>
      <c r="AB116" s="120"/>
      <c r="AF116" s="120"/>
      <c r="AG116" s="120"/>
    </row>
    <row r="117" spans="4:33" x14ac:dyDescent="0.25">
      <c r="D117" s="120"/>
      <c r="H117" s="120"/>
      <c r="L117" s="120"/>
      <c r="P117" s="120"/>
      <c r="T117" s="120"/>
      <c r="X117" s="120"/>
      <c r="AB117" s="120"/>
      <c r="AF117" s="120"/>
      <c r="AG117" s="120"/>
    </row>
    <row r="118" spans="4:33" x14ac:dyDescent="0.25">
      <c r="D118" s="120"/>
      <c r="H118" s="120"/>
      <c r="L118" s="120"/>
      <c r="P118" s="120"/>
      <c r="T118" s="120"/>
      <c r="X118" s="120"/>
      <c r="AB118" s="120"/>
      <c r="AF118" s="120"/>
      <c r="AG118" s="120"/>
    </row>
    <row r="119" spans="4:33" x14ac:dyDescent="0.25">
      <c r="D119" s="120"/>
      <c r="H119" s="120"/>
      <c r="L119" s="120"/>
      <c r="P119" s="120"/>
      <c r="T119" s="120"/>
      <c r="X119" s="120"/>
      <c r="AB119" s="120"/>
      <c r="AF119" s="120"/>
      <c r="AG119" s="120"/>
    </row>
    <row r="120" spans="4:33" x14ac:dyDescent="0.25">
      <c r="D120" s="120"/>
      <c r="H120" s="120"/>
      <c r="L120" s="120"/>
      <c r="P120" s="120"/>
      <c r="T120" s="120"/>
      <c r="X120" s="120"/>
      <c r="AB120" s="120"/>
      <c r="AF120" s="120"/>
      <c r="AG120" s="120"/>
    </row>
    <row r="121" spans="4:33" x14ac:dyDescent="0.25">
      <c r="D121" s="120"/>
      <c r="H121" s="120"/>
      <c r="L121" s="120"/>
      <c r="P121" s="120"/>
      <c r="T121" s="120"/>
      <c r="X121" s="120"/>
      <c r="AB121" s="120"/>
      <c r="AF121" s="120"/>
      <c r="AG121" s="120"/>
    </row>
    <row r="122" spans="4:33" x14ac:dyDescent="0.25">
      <c r="D122" s="120"/>
      <c r="H122" s="120"/>
      <c r="L122" s="120"/>
      <c r="P122" s="120"/>
      <c r="T122" s="120"/>
      <c r="X122" s="120"/>
      <c r="AB122" s="120"/>
      <c r="AF122" s="120"/>
      <c r="AG122" s="120"/>
    </row>
    <row r="123" spans="4:33" x14ac:dyDescent="0.25">
      <c r="D123" s="120"/>
      <c r="H123" s="120"/>
      <c r="L123" s="120"/>
      <c r="P123" s="120"/>
      <c r="T123" s="120"/>
      <c r="X123" s="120"/>
      <c r="AB123" s="120"/>
      <c r="AF123" s="120"/>
      <c r="AG123" s="120"/>
    </row>
    <row r="124" spans="4:33" x14ac:dyDescent="0.25">
      <c r="D124" s="120"/>
      <c r="H124" s="120"/>
      <c r="L124" s="120"/>
      <c r="P124" s="120"/>
      <c r="T124" s="120"/>
      <c r="X124" s="120"/>
      <c r="AB124" s="120"/>
      <c r="AF124" s="120"/>
      <c r="AG124" s="120"/>
    </row>
    <row r="125" spans="4:33" x14ac:dyDescent="0.25">
      <c r="D125" s="403" t="s">
        <v>1511</v>
      </c>
      <c r="E125" s="211">
        <v>30.35</v>
      </c>
      <c r="F125" s="211">
        <v>25</v>
      </c>
      <c r="G125" s="394"/>
      <c r="H125" s="403"/>
      <c r="I125" s="394"/>
      <c r="J125" s="394"/>
      <c r="L125" s="120"/>
      <c r="P125" s="120"/>
      <c r="T125" s="120"/>
      <c r="X125" s="120"/>
      <c r="AB125" s="120"/>
      <c r="AF125" s="120"/>
      <c r="AG125" s="120"/>
    </row>
    <row r="126" spans="4:33" x14ac:dyDescent="0.25">
      <c r="D126" s="120"/>
      <c r="H126" s="120"/>
      <c r="L126" s="120"/>
      <c r="P126" s="120"/>
      <c r="T126" s="120"/>
      <c r="X126" s="120"/>
      <c r="AB126" s="120"/>
      <c r="AF126" s="120"/>
      <c r="AG126" s="120"/>
    </row>
    <row r="127" spans="4:33" x14ac:dyDescent="0.25">
      <c r="D127" s="120"/>
      <c r="H127" s="120"/>
      <c r="L127" s="120"/>
      <c r="P127" s="120"/>
      <c r="T127" s="120"/>
      <c r="X127" s="120"/>
      <c r="AB127" s="120"/>
      <c r="AF127" s="120"/>
      <c r="AG127" s="120"/>
    </row>
    <row r="128" spans="4:33" x14ac:dyDescent="0.25">
      <c r="D128" s="120"/>
      <c r="H128" s="120"/>
      <c r="L128" s="120"/>
      <c r="P128" s="120"/>
      <c r="T128" s="120"/>
      <c r="X128" s="120"/>
      <c r="AB128" s="120"/>
      <c r="AF128" s="120"/>
      <c r="AG128" s="120"/>
    </row>
    <row r="129" spans="4:33" x14ac:dyDescent="0.25">
      <c r="D129" s="120"/>
      <c r="H129" s="120"/>
      <c r="L129" s="120"/>
      <c r="P129" s="120"/>
      <c r="T129" s="120"/>
      <c r="X129" s="120"/>
      <c r="AB129" s="120"/>
      <c r="AF129" s="120"/>
      <c r="AG129" s="120"/>
    </row>
    <row r="130" spans="4:33" x14ac:dyDescent="0.25">
      <c r="D130" s="120"/>
      <c r="H130" s="120"/>
      <c r="L130" s="120"/>
      <c r="P130" s="120"/>
      <c r="T130" s="120"/>
      <c r="X130" s="120"/>
      <c r="AB130" s="120"/>
      <c r="AF130" s="120"/>
      <c r="AG130" s="120"/>
    </row>
    <row r="131" spans="4:33" x14ac:dyDescent="0.25">
      <c r="D131" s="120"/>
      <c r="H131" s="120"/>
      <c r="L131" s="120"/>
      <c r="P131" s="120"/>
      <c r="T131" s="120"/>
      <c r="X131" s="120"/>
      <c r="AB131" s="120"/>
      <c r="AF131" s="120"/>
      <c r="AG131" s="120"/>
    </row>
    <row r="132" spans="4:33" x14ac:dyDescent="0.25">
      <c r="D132" s="120"/>
      <c r="H132" s="120"/>
      <c r="L132" s="120"/>
      <c r="P132" s="120"/>
      <c r="T132" s="120"/>
      <c r="X132" s="120"/>
      <c r="AB132" s="120"/>
      <c r="AF132" s="120"/>
      <c r="AG132" s="120"/>
    </row>
    <row r="133" spans="4:33" x14ac:dyDescent="0.25">
      <c r="D133" s="120"/>
      <c r="H133" s="120"/>
      <c r="L133" s="120"/>
      <c r="P133" s="120"/>
      <c r="T133" s="120"/>
      <c r="X133" s="120"/>
      <c r="AB133" s="120"/>
      <c r="AF133" s="120"/>
      <c r="AG133" s="120"/>
    </row>
    <row r="134" spans="4:33" x14ac:dyDescent="0.25">
      <c r="D134" s="120"/>
      <c r="H134" s="120"/>
      <c r="L134" s="120"/>
      <c r="P134" s="120"/>
      <c r="T134" s="120"/>
      <c r="X134" s="120"/>
      <c r="AB134" s="120"/>
      <c r="AF134" s="120"/>
      <c r="AG134" s="120"/>
    </row>
    <row r="135" spans="4:33" x14ac:dyDescent="0.25">
      <c r="D135" s="120"/>
      <c r="H135" s="120"/>
      <c r="L135" s="120"/>
      <c r="P135" s="120"/>
      <c r="T135" s="120"/>
      <c r="X135" s="120"/>
      <c r="AB135" s="120"/>
      <c r="AF135" s="120"/>
      <c r="AG135" s="120"/>
    </row>
    <row r="136" spans="4:33" x14ac:dyDescent="0.25">
      <c r="D136" s="120"/>
      <c r="H136" s="120"/>
      <c r="L136" s="120"/>
      <c r="P136" s="120"/>
      <c r="T136" s="120"/>
      <c r="X136" s="120"/>
      <c r="AB136" s="120"/>
      <c r="AF136" s="120"/>
      <c r="AG136" s="120"/>
    </row>
    <row r="137" spans="4:33" x14ac:dyDescent="0.25">
      <c r="D137" s="120"/>
      <c r="H137" s="120"/>
      <c r="L137" s="120"/>
      <c r="P137" s="120"/>
      <c r="T137" s="120"/>
      <c r="X137" s="120"/>
      <c r="AB137" s="120"/>
      <c r="AF137" s="120"/>
      <c r="AG137" s="120"/>
    </row>
    <row r="138" spans="4:33" x14ac:dyDescent="0.25">
      <c r="D138" s="120"/>
      <c r="H138" s="120"/>
      <c r="L138" s="120"/>
      <c r="P138" s="120"/>
      <c r="T138" s="120"/>
      <c r="X138" s="120"/>
      <c r="AB138" s="120"/>
      <c r="AF138" s="120"/>
      <c r="AG138" s="120"/>
    </row>
    <row r="139" spans="4:33" x14ac:dyDescent="0.25">
      <c r="D139" s="120"/>
      <c r="H139" s="120"/>
      <c r="L139" s="120"/>
      <c r="P139" s="120"/>
      <c r="T139" s="120"/>
      <c r="X139" s="120"/>
      <c r="AB139" s="120"/>
      <c r="AF139" s="120"/>
      <c r="AG139" s="120"/>
    </row>
    <row r="140" spans="4:33" x14ac:dyDescent="0.25">
      <c r="D140" s="120"/>
      <c r="H140" s="120"/>
      <c r="L140" s="120"/>
      <c r="P140" s="120"/>
      <c r="T140" s="120"/>
      <c r="X140" s="120"/>
      <c r="AB140" s="120"/>
      <c r="AF140" s="120"/>
      <c r="AG140" s="120"/>
    </row>
    <row r="141" spans="4:33" x14ac:dyDescent="0.25">
      <c r="D141" s="120"/>
      <c r="H141" s="120"/>
      <c r="L141" s="120"/>
      <c r="P141" s="120"/>
      <c r="T141" s="120"/>
      <c r="X141" s="120"/>
      <c r="AB141" s="120"/>
      <c r="AF141" s="120"/>
      <c r="AG141" s="120"/>
    </row>
    <row r="142" spans="4:33" x14ac:dyDescent="0.25">
      <c r="D142" s="120"/>
      <c r="H142" s="120"/>
      <c r="L142" s="120"/>
      <c r="P142" s="120"/>
      <c r="T142" s="120"/>
      <c r="X142" s="120"/>
      <c r="AB142" s="120"/>
      <c r="AF142" s="120"/>
      <c r="AG142" s="120"/>
    </row>
    <row r="143" spans="4:33" x14ac:dyDescent="0.25">
      <c r="D143" s="120"/>
      <c r="H143" s="120"/>
      <c r="L143" s="120"/>
      <c r="P143" s="120"/>
      <c r="T143" s="120"/>
      <c r="X143" s="120"/>
      <c r="AB143" s="120"/>
      <c r="AF143" s="120"/>
      <c r="AG143" s="120"/>
    </row>
    <row r="144" spans="4:33" x14ac:dyDescent="0.25">
      <c r="D144" s="120"/>
      <c r="H144" s="120"/>
      <c r="L144" s="120"/>
      <c r="P144" s="120"/>
      <c r="T144" s="120"/>
      <c r="X144" s="120"/>
      <c r="AB144" s="120"/>
      <c r="AF144" s="120"/>
      <c r="AG144" s="120"/>
    </row>
    <row r="145" spans="4:33" x14ac:dyDescent="0.25">
      <c r="D145" s="120"/>
      <c r="H145" s="120"/>
      <c r="L145" s="120"/>
      <c r="P145" s="120"/>
      <c r="T145" s="120"/>
      <c r="X145" s="120"/>
      <c r="AB145" s="120"/>
      <c r="AF145" s="120"/>
      <c r="AG145" s="120"/>
    </row>
    <row r="146" spans="4:33" x14ac:dyDescent="0.25">
      <c r="D146" s="120"/>
      <c r="H146" s="120"/>
      <c r="L146" s="120"/>
      <c r="P146" s="120"/>
      <c r="T146" s="120"/>
      <c r="X146" s="120"/>
      <c r="AB146" s="120"/>
      <c r="AF146" s="120"/>
      <c r="AG146" s="120"/>
    </row>
    <row r="147" spans="4:33" x14ac:dyDescent="0.25">
      <c r="D147" s="120"/>
      <c r="H147" s="120"/>
      <c r="L147" s="120"/>
      <c r="P147" s="120"/>
      <c r="T147" s="120"/>
      <c r="X147" s="120"/>
      <c r="AB147" s="120"/>
      <c r="AF147" s="120"/>
      <c r="AG147" s="120"/>
    </row>
    <row r="148" spans="4:33" x14ac:dyDescent="0.25">
      <c r="D148" s="120"/>
      <c r="H148" s="120"/>
      <c r="L148" s="120"/>
      <c r="P148" s="120"/>
      <c r="T148" s="120"/>
      <c r="X148" s="120"/>
      <c r="AB148" s="120"/>
      <c r="AF148" s="120"/>
      <c r="AG148" s="120"/>
    </row>
    <row r="149" spans="4:33" x14ac:dyDescent="0.25">
      <c r="D149" s="120"/>
      <c r="H149" s="120"/>
      <c r="L149" s="120"/>
      <c r="P149" s="120"/>
      <c r="T149" s="120"/>
      <c r="X149" s="120"/>
      <c r="AB149" s="120"/>
      <c r="AF149" s="120"/>
      <c r="AG149" s="120"/>
    </row>
    <row r="150" spans="4:33" x14ac:dyDescent="0.25">
      <c r="D150" s="120"/>
      <c r="H150" s="120"/>
      <c r="L150" s="120"/>
      <c r="P150" s="120"/>
      <c r="T150" s="120"/>
      <c r="X150" s="120"/>
      <c r="AB150" s="120"/>
      <c r="AF150" s="120"/>
      <c r="AG150" s="120"/>
    </row>
    <row r="151" spans="4:33" x14ac:dyDescent="0.25">
      <c r="D151" s="120"/>
      <c r="H151" s="120"/>
      <c r="L151" s="120"/>
      <c r="P151" s="120"/>
      <c r="T151" s="120"/>
      <c r="X151" s="120"/>
      <c r="AB151" s="120"/>
      <c r="AF151" s="120"/>
      <c r="AG151" s="120"/>
    </row>
    <row r="152" spans="4:33" x14ac:dyDescent="0.25">
      <c r="D152" s="120"/>
      <c r="H152" s="120"/>
      <c r="L152" s="120"/>
      <c r="P152" s="120"/>
      <c r="T152" s="120"/>
      <c r="X152" s="120"/>
      <c r="AB152" s="120"/>
      <c r="AF152" s="120"/>
      <c r="AG152" s="120"/>
    </row>
    <row r="153" spans="4:33" x14ac:dyDescent="0.25">
      <c r="D153" s="120"/>
      <c r="H153" s="120"/>
      <c r="L153" s="120"/>
      <c r="P153" s="120"/>
      <c r="T153" s="120"/>
      <c r="X153" s="120"/>
      <c r="AB153" s="120"/>
      <c r="AF153" s="120"/>
      <c r="AG153" s="120"/>
    </row>
    <row r="154" spans="4:33" x14ac:dyDescent="0.25">
      <c r="D154" s="120"/>
      <c r="H154" s="120"/>
      <c r="L154" s="120"/>
      <c r="P154" s="120"/>
      <c r="T154" s="120"/>
      <c r="X154" s="120"/>
      <c r="AB154" s="120"/>
      <c r="AF154" s="120"/>
      <c r="AG154" s="120"/>
    </row>
    <row r="155" spans="4:33" x14ac:dyDescent="0.25">
      <c r="D155" s="120"/>
      <c r="H155" s="120"/>
      <c r="L155" s="120"/>
      <c r="P155" s="120"/>
      <c r="T155" s="120"/>
      <c r="X155" s="120"/>
      <c r="AB155" s="120"/>
      <c r="AF155" s="120"/>
      <c r="AG155" s="120"/>
    </row>
    <row r="156" spans="4:33" x14ac:dyDescent="0.25">
      <c r="D156" s="120"/>
      <c r="H156" s="120"/>
      <c r="L156" s="120"/>
      <c r="P156" s="120"/>
      <c r="T156" s="120"/>
      <c r="X156" s="120"/>
      <c r="AB156" s="120"/>
      <c r="AF156" s="120"/>
      <c r="AG156" s="120"/>
    </row>
    <row r="157" spans="4:33" x14ac:dyDescent="0.25">
      <c r="D157" s="120"/>
      <c r="H157" s="120"/>
      <c r="L157" s="120"/>
      <c r="P157" s="120"/>
      <c r="T157" s="120"/>
      <c r="X157" s="120"/>
      <c r="AB157" s="120"/>
      <c r="AF157" s="120"/>
      <c r="AG157" s="120"/>
    </row>
    <row r="158" spans="4:33" x14ac:dyDescent="0.25">
      <c r="D158" s="120"/>
      <c r="H158" s="120"/>
      <c r="L158" s="120"/>
      <c r="P158" s="120"/>
      <c r="T158" s="120"/>
      <c r="X158" s="120"/>
      <c r="AB158" s="120"/>
      <c r="AF158" s="120"/>
      <c r="AG158" s="120"/>
    </row>
    <row r="159" spans="4:33" x14ac:dyDescent="0.25">
      <c r="D159" s="120"/>
      <c r="H159" s="120"/>
      <c r="L159" s="120"/>
      <c r="P159" s="120"/>
      <c r="T159" s="120"/>
      <c r="X159" s="120"/>
      <c r="AB159" s="120"/>
      <c r="AF159" s="120"/>
      <c r="AG159" s="120"/>
    </row>
    <row r="160" spans="4:33" x14ac:dyDescent="0.25">
      <c r="D160" s="120"/>
      <c r="H160" s="120"/>
      <c r="L160" s="120"/>
      <c r="P160" s="120"/>
      <c r="T160" s="120"/>
      <c r="X160" s="120"/>
      <c r="AB160" s="120"/>
      <c r="AF160" s="120"/>
      <c r="AG160" s="120"/>
    </row>
    <row r="161" spans="4:33" x14ac:dyDescent="0.25">
      <c r="D161" s="120"/>
      <c r="H161" s="120"/>
      <c r="L161" s="120"/>
      <c r="P161" s="120"/>
      <c r="T161" s="120"/>
      <c r="X161" s="120"/>
      <c r="AB161" s="120"/>
      <c r="AF161" s="120"/>
      <c r="AG161" s="120"/>
    </row>
    <row r="162" spans="4:33" x14ac:dyDescent="0.25">
      <c r="D162" s="120"/>
      <c r="H162" s="120"/>
      <c r="L162" s="120"/>
      <c r="P162" s="120"/>
      <c r="T162" s="120"/>
      <c r="X162" s="120"/>
      <c r="AB162" s="120"/>
      <c r="AF162" s="120"/>
      <c r="AG162" s="120"/>
    </row>
    <row r="163" spans="4:33" x14ac:dyDescent="0.25">
      <c r="D163" s="120"/>
      <c r="H163" s="120"/>
      <c r="L163" s="120"/>
      <c r="P163" s="120"/>
      <c r="T163" s="120"/>
      <c r="X163" s="120"/>
      <c r="AB163" s="120"/>
      <c r="AF163" s="120"/>
      <c r="AG163" s="120"/>
    </row>
    <row r="164" spans="4:33" x14ac:dyDescent="0.25">
      <c r="D164" s="120"/>
      <c r="H164" s="120"/>
      <c r="L164" s="120"/>
      <c r="P164" s="120"/>
      <c r="T164" s="120"/>
      <c r="X164" s="120"/>
      <c r="AB164" s="120"/>
      <c r="AF164" s="120"/>
      <c r="AG164" s="120"/>
    </row>
    <row r="165" spans="4:33" x14ac:dyDescent="0.25">
      <c r="D165" s="120"/>
      <c r="H165" s="120"/>
      <c r="L165" s="120"/>
      <c r="P165" s="120"/>
      <c r="T165" s="120"/>
      <c r="X165" s="120"/>
      <c r="AB165" s="120"/>
      <c r="AF165" s="120"/>
      <c r="AG165" s="120"/>
    </row>
    <row r="166" spans="4:33" x14ac:dyDescent="0.25">
      <c r="D166" s="120"/>
      <c r="H166" s="120"/>
      <c r="L166" s="120"/>
      <c r="P166" s="120"/>
      <c r="T166" s="120"/>
      <c r="X166" s="120"/>
      <c r="AB166" s="120"/>
      <c r="AF166" s="120"/>
      <c r="AG166" s="120"/>
    </row>
    <row r="167" spans="4:33" x14ac:dyDescent="0.25">
      <c r="D167" s="120"/>
      <c r="H167" s="120"/>
      <c r="L167" s="120"/>
      <c r="P167" s="120"/>
      <c r="T167" s="120"/>
      <c r="X167" s="120"/>
      <c r="AB167" s="120"/>
      <c r="AF167" s="120"/>
      <c r="AG167" s="120"/>
    </row>
    <row r="168" spans="4:33" x14ac:dyDescent="0.25">
      <c r="D168" s="120"/>
      <c r="H168" s="120"/>
      <c r="L168" s="120"/>
      <c r="P168" s="120"/>
      <c r="T168" s="120"/>
      <c r="X168" s="120"/>
      <c r="AB168" s="120"/>
      <c r="AF168" s="120"/>
      <c r="AG168" s="120"/>
    </row>
    <row r="169" spans="4:33" x14ac:dyDescent="0.25">
      <c r="D169" s="120"/>
      <c r="H169" s="120"/>
      <c r="L169" s="120"/>
      <c r="P169" s="120"/>
      <c r="T169" s="120"/>
      <c r="X169" s="120"/>
      <c r="AB169" s="120"/>
      <c r="AF169" s="120"/>
      <c r="AG169" s="120"/>
    </row>
    <row r="170" spans="4:33" x14ac:dyDescent="0.25">
      <c r="D170" s="120"/>
      <c r="H170" s="120"/>
      <c r="L170" s="120"/>
      <c r="P170" s="120"/>
      <c r="T170" s="120"/>
      <c r="X170" s="120"/>
      <c r="AB170" s="120"/>
      <c r="AF170" s="120"/>
      <c r="AG170" s="120"/>
    </row>
    <row r="171" spans="4:33" x14ac:dyDescent="0.25">
      <c r="D171" s="120"/>
      <c r="H171" s="120"/>
      <c r="L171" s="120"/>
      <c r="P171" s="120"/>
      <c r="T171" s="120"/>
      <c r="X171" s="120"/>
      <c r="AB171" s="120"/>
      <c r="AF171" s="120"/>
      <c r="AG171" s="120"/>
    </row>
    <row r="172" spans="4:33" x14ac:dyDescent="0.25">
      <c r="D172" s="120"/>
      <c r="H172" s="120"/>
      <c r="L172" s="120"/>
      <c r="P172" s="120"/>
      <c r="T172" s="120"/>
      <c r="X172" s="120"/>
      <c r="AB172" s="120"/>
      <c r="AF172" s="120"/>
      <c r="AG172" s="120"/>
    </row>
    <row r="173" spans="4:33" x14ac:dyDescent="0.25">
      <c r="D173" s="120"/>
      <c r="H173" s="120"/>
      <c r="L173" s="120"/>
      <c r="P173" s="120"/>
      <c r="T173" s="120"/>
      <c r="X173" s="120"/>
      <c r="AB173" s="120"/>
      <c r="AF173" s="120"/>
      <c r="AG173" s="120"/>
    </row>
    <row r="174" spans="4:33" x14ac:dyDescent="0.25">
      <c r="D174" s="120"/>
      <c r="H174" s="120"/>
      <c r="L174" s="120"/>
      <c r="P174" s="120"/>
      <c r="T174" s="120"/>
      <c r="X174" s="120"/>
      <c r="AB174" s="120"/>
      <c r="AF174" s="120"/>
      <c r="AG174" s="120"/>
    </row>
    <row r="175" spans="4:33" x14ac:dyDescent="0.25">
      <c r="D175" s="120"/>
      <c r="H175" s="120"/>
      <c r="L175" s="120"/>
      <c r="P175" s="120"/>
      <c r="T175" s="120"/>
      <c r="X175" s="120"/>
      <c r="AB175" s="120"/>
      <c r="AF175" s="120"/>
      <c r="AG175" s="120"/>
    </row>
    <row r="176" spans="4:33" x14ac:dyDescent="0.25">
      <c r="D176" s="120"/>
      <c r="H176" s="120"/>
      <c r="L176" s="120"/>
      <c r="P176" s="120"/>
      <c r="T176" s="120"/>
      <c r="X176" s="120"/>
      <c r="AB176" s="120"/>
      <c r="AF176" s="120"/>
      <c r="AG176" s="120"/>
    </row>
    <row r="177" spans="4:33" x14ac:dyDescent="0.25">
      <c r="D177" s="120"/>
      <c r="H177" s="120"/>
      <c r="L177" s="120"/>
      <c r="P177" s="120"/>
      <c r="T177" s="120"/>
      <c r="X177" s="120"/>
      <c r="AB177" s="120"/>
      <c r="AF177" s="120"/>
      <c r="AG177" s="120"/>
    </row>
    <row r="178" spans="4:33" x14ac:dyDescent="0.25">
      <c r="D178" s="120"/>
      <c r="H178" s="120"/>
      <c r="L178" s="120"/>
      <c r="P178" s="120"/>
      <c r="T178" s="120"/>
      <c r="X178" s="120"/>
      <c r="AB178" s="120"/>
      <c r="AF178" s="120"/>
      <c r="AG178" s="120"/>
    </row>
    <row r="179" spans="4:33" x14ac:dyDescent="0.25">
      <c r="D179" s="120"/>
      <c r="H179" s="120"/>
      <c r="L179" s="120"/>
      <c r="P179" s="120"/>
      <c r="T179" s="120"/>
      <c r="X179" s="120"/>
      <c r="AB179" s="120"/>
      <c r="AF179" s="120"/>
      <c r="AG179" s="120"/>
    </row>
    <row r="180" spans="4:33" x14ac:dyDescent="0.25">
      <c r="D180" s="120"/>
      <c r="H180" s="120"/>
      <c r="L180" s="120"/>
      <c r="P180" s="120"/>
      <c r="T180" s="120"/>
      <c r="X180" s="120"/>
      <c r="AB180" s="120"/>
      <c r="AF180" s="120"/>
      <c r="AG180" s="120"/>
    </row>
    <row r="181" spans="4:33" x14ac:dyDescent="0.25">
      <c r="D181" s="120"/>
      <c r="H181" s="120"/>
      <c r="L181" s="120"/>
      <c r="P181" s="120"/>
      <c r="T181" s="120"/>
      <c r="X181" s="120"/>
      <c r="AB181" s="120"/>
      <c r="AF181" s="120"/>
      <c r="AG181" s="120"/>
    </row>
    <row r="182" spans="4:33" x14ac:dyDescent="0.25">
      <c r="D182" s="120"/>
      <c r="H182" s="120"/>
      <c r="L182" s="120"/>
      <c r="P182" s="120"/>
      <c r="T182" s="120"/>
      <c r="X182" s="120"/>
      <c r="AB182" s="120"/>
      <c r="AF182" s="120"/>
      <c r="AG182" s="120"/>
    </row>
    <row r="183" spans="4:33" x14ac:dyDescent="0.25">
      <c r="D183" s="120"/>
      <c r="H183" s="120"/>
      <c r="L183" s="120"/>
      <c r="P183" s="120"/>
      <c r="T183" s="120"/>
      <c r="X183" s="120"/>
      <c r="AB183" s="120"/>
      <c r="AF183" s="120"/>
      <c r="AG183" s="120"/>
    </row>
    <row r="184" spans="4:33" x14ac:dyDescent="0.25">
      <c r="D184" s="120"/>
      <c r="H184" s="120"/>
      <c r="L184" s="120"/>
      <c r="P184" s="120"/>
      <c r="T184" s="120"/>
      <c r="X184" s="120"/>
      <c r="AB184" s="120"/>
      <c r="AF184" s="120"/>
      <c r="AG184" s="120"/>
    </row>
    <row r="185" spans="4:33" x14ac:dyDescent="0.25">
      <c r="D185" s="120"/>
      <c r="H185" s="120"/>
      <c r="L185" s="120"/>
      <c r="P185" s="120"/>
      <c r="T185" s="120"/>
      <c r="X185" s="120"/>
      <c r="AB185" s="120"/>
      <c r="AF185" s="120"/>
      <c r="AG185" s="120"/>
    </row>
    <row r="186" spans="4:33" x14ac:dyDescent="0.25">
      <c r="D186" s="120"/>
      <c r="H186" s="120"/>
      <c r="L186" s="120"/>
      <c r="P186" s="120"/>
      <c r="T186" s="120"/>
      <c r="X186" s="120"/>
      <c r="AB186" s="120"/>
      <c r="AF186" s="120"/>
      <c r="AG186" s="120"/>
    </row>
    <row r="187" spans="4:33" x14ac:dyDescent="0.25">
      <c r="D187" s="120"/>
      <c r="H187" s="120"/>
      <c r="L187" s="120"/>
      <c r="P187" s="120"/>
      <c r="T187" s="120"/>
      <c r="X187" s="120"/>
      <c r="AB187" s="120"/>
      <c r="AF187" s="120"/>
      <c r="AG187" s="120"/>
    </row>
    <row r="188" spans="4:33" x14ac:dyDescent="0.25">
      <c r="D188" s="120"/>
      <c r="H188" s="120"/>
      <c r="L188" s="120"/>
      <c r="P188" s="120"/>
      <c r="T188" s="120"/>
      <c r="X188" s="120"/>
      <c r="AB188" s="120"/>
      <c r="AF188" s="120"/>
      <c r="AG188" s="120"/>
    </row>
    <row r="189" spans="4:33" x14ac:dyDescent="0.25">
      <c r="D189" s="120"/>
      <c r="H189" s="120"/>
      <c r="L189" s="120"/>
      <c r="P189" s="120"/>
      <c r="T189" s="120"/>
      <c r="X189" s="120"/>
      <c r="AB189" s="120"/>
      <c r="AF189" s="120"/>
      <c r="AG189" s="120"/>
    </row>
    <row r="190" spans="4:33" x14ac:dyDescent="0.25">
      <c r="D190" s="120"/>
      <c r="H190" s="120"/>
      <c r="L190" s="120"/>
      <c r="P190" s="120"/>
      <c r="T190" s="120"/>
      <c r="X190" s="120"/>
      <c r="AB190" s="120"/>
      <c r="AF190" s="120"/>
      <c r="AG190" s="120"/>
    </row>
    <row r="191" spans="4:33" x14ac:dyDescent="0.25">
      <c r="D191" s="120"/>
      <c r="H191" s="120"/>
      <c r="L191" s="120"/>
      <c r="P191" s="120"/>
      <c r="T191" s="120"/>
      <c r="X191" s="120"/>
      <c r="AB191" s="120"/>
      <c r="AF191" s="120"/>
      <c r="AG191" s="120"/>
    </row>
    <row r="192" spans="4:33" x14ac:dyDescent="0.25">
      <c r="D192" s="120"/>
      <c r="H192" s="120"/>
      <c r="L192" s="120"/>
      <c r="P192" s="120"/>
      <c r="T192" s="120"/>
      <c r="X192" s="120"/>
      <c r="AB192" s="120"/>
      <c r="AF192" s="120"/>
      <c r="AG192" s="120"/>
    </row>
    <row r="193" spans="4:33" x14ac:dyDescent="0.25">
      <c r="D193" s="120"/>
      <c r="H193" s="120"/>
      <c r="L193" s="120"/>
      <c r="P193" s="120"/>
      <c r="T193" s="120"/>
      <c r="X193" s="120"/>
      <c r="AB193" s="120"/>
      <c r="AF193" s="120"/>
      <c r="AG193" s="120"/>
    </row>
    <row r="194" spans="4:33" x14ac:dyDescent="0.25">
      <c r="D194" s="120"/>
      <c r="H194" s="120"/>
      <c r="L194" s="120"/>
      <c r="P194" s="120"/>
      <c r="T194" s="120"/>
      <c r="X194" s="120"/>
      <c r="AB194" s="120"/>
      <c r="AF194" s="120"/>
      <c r="AG194" s="120"/>
    </row>
    <row r="195" spans="4:33" x14ac:dyDescent="0.25">
      <c r="D195" s="120"/>
      <c r="H195" s="120"/>
      <c r="L195" s="120"/>
      <c r="P195" s="120"/>
      <c r="T195" s="120"/>
      <c r="X195" s="120"/>
      <c r="AB195" s="120"/>
      <c r="AF195" s="120"/>
      <c r="AG195" s="120"/>
    </row>
    <row r="196" spans="4:33" x14ac:dyDescent="0.25">
      <c r="D196" s="120"/>
      <c r="H196" s="120"/>
      <c r="L196" s="120"/>
      <c r="P196" s="120"/>
      <c r="T196" s="120"/>
      <c r="X196" s="120"/>
      <c r="AB196" s="120"/>
      <c r="AF196" s="120"/>
      <c r="AG196" s="120"/>
    </row>
    <row r="197" spans="4:33" x14ac:dyDescent="0.25">
      <c r="D197" s="120"/>
      <c r="H197" s="120"/>
      <c r="L197" s="120"/>
      <c r="P197" s="120"/>
      <c r="T197" s="120"/>
      <c r="X197" s="120"/>
      <c r="AB197" s="120"/>
      <c r="AF197" s="120"/>
      <c r="AG197" s="120"/>
    </row>
    <row r="198" spans="4:33" x14ac:dyDescent="0.25">
      <c r="D198" s="120"/>
      <c r="H198" s="120"/>
      <c r="L198" s="120"/>
      <c r="P198" s="120"/>
      <c r="T198" s="120"/>
      <c r="X198" s="120"/>
      <c r="AB198" s="120"/>
      <c r="AF198" s="120"/>
      <c r="AG198" s="120"/>
    </row>
    <row r="199" spans="4:33" x14ac:dyDescent="0.25">
      <c r="D199" s="120"/>
      <c r="H199" s="120"/>
      <c r="L199" s="120"/>
      <c r="P199" s="120"/>
      <c r="T199" s="120"/>
      <c r="X199" s="120"/>
      <c r="AB199" s="120"/>
      <c r="AF199" s="120"/>
      <c r="AG199" s="120"/>
    </row>
    <row r="200" spans="4:33" x14ac:dyDescent="0.25">
      <c r="D200" s="120"/>
      <c r="H200" s="120"/>
      <c r="L200" s="120"/>
      <c r="P200" s="120"/>
      <c r="T200" s="120"/>
      <c r="X200" s="120"/>
      <c r="AB200" s="120"/>
      <c r="AF200" s="120"/>
      <c r="AG200" s="120"/>
    </row>
    <row r="201" spans="4:33" x14ac:dyDescent="0.25">
      <c r="D201" s="120"/>
      <c r="H201" s="120"/>
      <c r="L201" s="120"/>
      <c r="P201" s="120"/>
      <c r="T201" s="120"/>
      <c r="X201" s="120"/>
      <c r="AB201" s="120"/>
      <c r="AF201" s="120"/>
      <c r="AG201" s="120"/>
    </row>
    <row r="202" spans="4:33" x14ac:dyDescent="0.25">
      <c r="D202" s="120"/>
      <c r="H202" s="120"/>
      <c r="L202" s="120"/>
      <c r="P202" s="120"/>
      <c r="T202" s="120"/>
      <c r="X202" s="120"/>
      <c r="AB202" s="120"/>
      <c r="AF202" s="120"/>
      <c r="AG202" s="120"/>
    </row>
    <row r="203" spans="4:33" x14ac:dyDescent="0.25">
      <c r="D203" s="120"/>
      <c r="H203" s="120"/>
      <c r="L203" s="120"/>
      <c r="P203" s="120"/>
      <c r="T203" s="120"/>
      <c r="X203" s="120"/>
      <c r="AB203" s="120"/>
      <c r="AF203" s="120"/>
      <c r="AG203" s="120"/>
    </row>
    <row r="204" spans="4:33" x14ac:dyDescent="0.25">
      <c r="D204" s="120"/>
      <c r="H204" s="120"/>
      <c r="L204" s="120"/>
      <c r="P204" s="120"/>
      <c r="T204" s="120"/>
      <c r="X204" s="120"/>
      <c r="AB204" s="120"/>
      <c r="AF204" s="120"/>
      <c r="AG204" s="120"/>
    </row>
    <row r="205" spans="4:33" x14ac:dyDescent="0.25">
      <c r="D205" s="120"/>
      <c r="H205" s="120"/>
      <c r="L205" s="120"/>
      <c r="P205" s="120"/>
      <c r="T205" s="120"/>
      <c r="X205" s="120"/>
      <c r="AB205" s="120"/>
      <c r="AF205" s="120"/>
      <c r="AG205" s="120"/>
    </row>
    <row r="206" spans="4:33" x14ac:dyDescent="0.25">
      <c r="D206" s="120"/>
      <c r="H206" s="120"/>
      <c r="L206" s="120"/>
      <c r="P206" s="120"/>
      <c r="T206" s="120"/>
      <c r="X206" s="120"/>
      <c r="AB206" s="120"/>
      <c r="AF206" s="120"/>
      <c r="AG206" s="120"/>
    </row>
    <row r="207" spans="4:33" x14ac:dyDescent="0.25">
      <c r="D207" s="120"/>
      <c r="H207" s="120"/>
      <c r="L207" s="120"/>
      <c r="P207" s="120"/>
      <c r="T207" s="120"/>
      <c r="X207" s="120"/>
      <c r="AB207" s="120"/>
      <c r="AF207" s="120"/>
      <c r="AG207" s="120"/>
    </row>
    <row r="208" spans="4:33" x14ac:dyDescent="0.25">
      <c r="D208" s="120"/>
      <c r="H208" s="120"/>
      <c r="L208" s="120"/>
      <c r="P208" s="120"/>
      <c r="T208" s="120"/>
      <c r="X208" s="120"/>
      <c r="AB208" s="120"/>
      <c r="AF208" s="120"/>
      <c r="AG208" s="120"/>
    </row>
    <row r="209" spans="4:33" x14ac:dyDescent="0.25">
      <c r="D209" s="120"/>
      <c r="H209" s="120"/>
      <c r="L209" s="120"/>
      <c r="P209" s="120"/>
      <c r="T209" s="120"/>
      <c r="X209" s="120"/>
      <c r="AB209" s="120"/>
      <c r="AF209" s="120"/>
      <c r="AG209" s="120"/>
    </row>
    <row r="210" spans="4:33" x14ac:dyDescent="0.25">
      <c r="D210" s="120"/>
      <c r="H210" s="120"/>
      <c r="L210" s="120"/>
      <c r="P210" s="120"/>
      <c r="T210" s="120"/>
      <c r="X210" s="120"/>
      <c r="AB210" s="120"/>
      <c r="AF210" s="120"/>
      <c r="AG210" s="120"/>
    </row>
    <row r="211" spans="4:33" x14ac:dyDescent="0.25">
      <c r="D211" s="120"/>
      <c r="H211" s="120"/>
      <c r="L211" s="120"/>
      <c r="P211" s="120"/>
      <c r="T211" s="120"/>
      <c r="X211" s="120"/>
      <c r="AB211" s="120"/>
      <c r="AF211" s="120"/>
      <c r="AG211" s="120"/>
    </row>
    <row r="212" spans="4:33" x14ac:dyDescent="0.25">
      <c r="D212" s="120"/>
      <c r="H212" s="120"/>
      <c r="L212" s="120"/>
      <c r="P212" s="120"/>
      <c r="T212" s="120"/>
      <c r="X212" s="120"/>
      <c r="AB212" s="120"/>
      <c r="AF212" s="120"/>
      <c r="AG212" s="120"/>
    </row>
    <row r="213" spans="4:33" x14ac:dyDescent="0.25">
      <c r="D213" s="120"/>
      <c r="H213" s="120"/>
      <c r="L213" s="120"/>
      <c r="P213" s="120"/>
      <c r="T213" s="120"/>
      <c r="X213" s="120"/>
      <c r="AB213" s="120"/>
      <c r="AF213" s="120"/>
      <c r="AG213" s="120"/>
    </row>
    <row r="214" spans="4:33" x14ac:dyDescent="0.25">
      <c r="D214" s="120"/>
      <c r="H214" s="120"/>
      <c r="L214" s="120"/>
      <c r="P214" s="120"/>
      <c r="T214" s="120"/>
      <c r="X214" s="120"/>
      <c r="AB214" s="120"/>
      <c r="AF214" s="120"/>
      <c r="AG214" s="120"/>
    </row>
    <row r="215" spans="4:33" x14ac:dyDescent="0.25">
      <c r="D215" s="120"/>
      <c r="H215" s="120"/>
      <c r="L215" s="120"/>
      <c r="P215" s="120"/>
      <c r="T215" s="120"/>
      <c r="X215" s="120"/>
      <c r="AB215" s="120"/>
      <c r="AF215" s="120"/>
      <c r="AG215" s="120"/>
    </row>
    <row r="216" spans="4:33" x14ac:dyDescent="0.25">
      <c r="D216" s="120"/>
      <c r="H216" s="120"/>
      <c r="L216" s="120"/>
      <c r="P216" s="120"/>
      <c r="T216" s="120"/>
      <c r="X216" s="120"/>
      <c r="AB216" s="120"/>
      <c r="AF216" s="120"/>
      <c r="AG216" s="120"/>
    </row>
    <row r="217" spans="4:33" x14ac:dyDescent="0.25">
      <c r="D217" s="120"/>
      <c r="H217" s="120"/>
      <c r="L217" s="120"/>
      <c r="P217" s="120"/>
      <c r="T217" s="120"/>
      <c r="X217" s="120"/>
      <c r="AB217" s="120"/>
      <c r="AF217" s="120"/>
      <c r="AG217" s="120"/>
    </row>
    <row r="218" spans="4:33" x14ac:dyDescent="0.25">
      <c r="D218" s="120"/>
      <c r="H218" s="120"/>
      <c r="L218" s="120"/>
      <c r="P218" s="120"/>
      <c r="T218" s="120"/>
      <c r="X218" s="120"/>
      <c r="AB218" s="120"/>
      <c r="AF218" s="120"/>
      <c r="AG218" s="120"/>
    </row>
    <row r="219" spans="4:33" x14ac:dyDescent="0.25">
      <c r="D219" s="120"/>
      <c r="H219" s="120"/>
      <c r="L219" s="120"/>
      <c r="P219" s="120"/>
      <c r="T219" s="120"/>
      <c r="X219" s="120"/>
      <c r="AB219" s="120"/>
      <c r="AF219" s="120"/>
      <c r="AG219" s="120"/>
    </row>
    <row r="220" spans="4:33" x14ac:dyDescent="0.25">
      <c r="D220" s="120"/>
      <c r="H220" s="120"/>
      <c r="L220" s="120"/>
      <c r="P220" s="120"/>
      <c r="T220" s="120"/>
      <c r="X220" s="120"/>
      <c r="AB220" s="120"/>
      <c r="AF220" s="120"/>
      <c r="AG220" s="120"/>
    </row>
    <row r="221" spans="4:33" x14ac:dyDescent="0.25">
      <c r="D221" s="120"/>
      <c r="H221" s="120"/>
      <c r="L221" s="120"/>
      <c r="P221" s="120"/>
      <c r="T221" s="120"/>
      <c r="X221" s="120"/>
      <c r="AB221" s="120"/>
      <c r="AF221" s="120"/>
      <c r="AG221" s="120"/>
    </row>
    <row r="222" spans="4:33" x14ac:dyDescent="0.25">
      <c r="D222" s="120"/>
      <c r="H222" s="120"/>
      <c r="L222" s="120"/>
      <c r="P222" s="120"/>
      <c r="T222" s="120"/>
      <c r="X222" s="120"/>
      <c r="AB222" s="120"/>
      <c r="AF222" s="120"/>
      <c r="AG222" s="120"/>
    </row>
    <row r="223" spans="4:33" x14ac:dyDescent="0.25">
      <c r="D223" s="120"/>
      <c r="H223" s="120"/>
      <c r="L223" s="120"/>
      <c r="P223" s="120"/>
      <c r="T223" s="120"/>
      <c r="X223" s="120"/>
      <c r="AB223" s="120"/>
      <c r="AF223" s="120"/>
      <c r="AG223" s="120"/>
    </row>
    <row r="224" spans="4:33" x14ac:dyDescent="0.25">
      <c r="D224" s="120"/>
      <c r="H224" s="120"/>
      <c r="L224" s="120"/>
      <c r="P224" s="120"/>
      <c r="T224" s="120"/>
      <c r="X224" s="120"/>
      <c r="AB224" s="120"/>
      <c r="AF224" s="120"/>
      <c r="AG224" s="120"/>
    </row>
    <row r="225" spans="4:33" x14ac:dyDescent="0.25">
      <c r="D225" s="120"/>
      <c r="H225" s="120"/>
      <c r="L225" s="120"/>
      <c r="P225" s="120"/>
      <c r="T225" s="120"/>
      <c r="X225" s="120"/>
      <c r="AB225" s="120"/>
      <c r="AF225" s="120"/>
      <c r="AG225" s="120"/>
    </row>
    <row r="226" spans="4:33" x14ac:dyDescent="0.25">
      <c r="D226" s="120"/>
      <c r="H226" s="120"/>
      <c r="L226" s="120"/>
      <c r="P226" s="120"/>
      <c r="T226" s="120"/>
      <c r="X226" s="120"/>
      <c r="AB226" s="120"/>
      <c r="AF226" s="120"/>
      <c r="AG226" s="120"/>
    </row>
    <row r="227" spans="4:33" x14ac:dyDescent="0.25">
      <c r="D227" s="120"/>
      <c r="H227" s="120"/>
      <c r="L227" s="120"/>
      <c r="P227" s="120"/>
      <c r="T227" s="120"/>
      <c r="X227" s="120"/>
      <c r="AB227" s="120"/>
      <c r="AF227" s="120"/>
      <c r="AG227" s="120"/>
    </row>
    <row r="228" spans="4:33" x14ac:dyDescent="0.25">
      <c r="D228" s="120"/>
      <c r="H228" s="120"/>
      <c r="L228" s="120"/>
      <c r="P228" s="120"/>
      <c r="T228" s="120"/>
      <c r="X228" s="120"/>
      <c r="AB228" s="120"/>
      <c r="AF228" s="120"/>
      <c r="AG228" s="120"/>
    </row>
    <row r="229" spans="4:33" x14ac:dyDescent="0.25">
      <c r="D229" s="120"/>
      <c r="H229" s="120"/>
      <c r="L229" s="120"/>
      <c r="P229" s="120"/>
      <c r="T229" s="120"/>
      <c r="X229" s="120"/>
      <c r="AB229" s="120"/>
      <c r="AF229" s="120"/>
      <c r="AG229" s="120"/>
    </row>
    <row r="230" spans="4:33" x14ac:dyDescent="0.25">
      <c r="D230" s="120"/>
      <c r="H230" s="120"/>
      <c r="L230" s="120"/>
      <c r="P230" s="120"/>
      <c r="T230" s="120"/>
      <c r="X230" s="120"/>
      <c r="AB230" s="120"/>
      <c r="AF230" s="120"/>
      <c r="AG230" s="120"/>
    </row>
    <row r="231" spans="4:33" x14ac:dyDescent="0.25">
      <c r="D231" s="120"/>
      <c r="H231" s="120"/>
      <c r="L231" s="120"/>
      <c r="P231" s="120"/>
      <c r="T231" s="120"/>
      <c r="X231" s="120"/>
      <c r="AB231" s="120"/>
      <c r="AF231" s="120"/>
      <c r="AG231" s="120"/>
    </row>
    <row r="232" spans="4:33" x14ac:dyDescent="0.25">
      <c r="D232" s="120"/>
      <c r="H232" s="120"/>
      <c r="L232" s="120"/>
      <c r="P232" s="120"/>
      <c r="T232" s="120"/>
      <c r="X232" s="120"/>
      <c r="AB232" s="120"/>
      <c r="AF232" s="120"/>
      <c r="AG232" s="120"/>
    </row>
    <row r="233" spans="4:33" x14ac:dyDescent="0.25">
      <c r="D233" s="120"/>
      <c r="H233" s="120"/>
      <c r="L233" s="120"/>
      <c r="P233" s="120"/>
      <c r="T233" s="120"/>
      <c r="X233" s="120"/>
      <c r="AB233" s="120"/>
      <c r="AF233" s="120"/>
      <c r="AG233" s="120"/>
    </row>
    <row r="234" spans="4:33" x14ac:dyDescent="0.25">
      <c r="D234" s="120"/>
      <c r="H234" s="120"/>
      <c r="L234" s="120"/>
      <c r="P234" s="120"/>
      <c r="T234" s="120"/>
      <c r="X234" s="120"/>
      <c r="AB234" s="120"/>
      <c r="AF234" s="120"/>
      <c r="AG234" s="120"/>
    </row>
    <row r="235" spans="4:33" x14ac:dyDescent="0.25">
      <c r="D235" s="120"/>
      <c r="H235" s="120"/>
      <c r="L235" s="120"/>
      <c r="P235" s="120"/>
      <c r="T235" s="120"/>
      <c r="X235" s="120"/>
      <c r="AB235" s="120"/>
      <c r="AF235" s="120"/>
      <c r="AG235" s="120"/>
    </row>
    <row r="236" spans="4:33" x14ac:dyDescent="0.25">
      <c r="D236" s="120"/>
      <c r="H236" s="120"/>
      <c r="L236" s="120"/>
      <c r="P236" s="120"/>
      <c r="T236" s="120"/>
      <c r="X236" s="120"/>
      <c r="AB236" s="120"/>
      <c r="AF236" s="120"/>
      <c r="AG236" s="120"/>
    </row>
    <row r="237" spans="4:33" x14ac:dyDescent="0.25">
      <c r="D237" s="120"/>
      <c r="H237" s="120"/>
      <c r="L237" s="120"/>
      <c r="P237" s="120"/>
      <c r="T237" s="120"/>
      <c r="X237" s="120"/>
      <c r="AB237" s="120"/>
      <c r="AF237" s="120"/>
      <c r="AG237" s="120"/>
    </row>
    <row r="238" spans="4:33" x14ac:dyDescent="0.25">
      <c r="D238" s="120"/>
      <c r="H238" s="120"/>
      <c r="L238" s="120"/>
      <c r="P238" s="120"/>
      <c r="T238" s="120"/>
      <c r="X238" s="120"/>
      <c r="AB238" s="120"/>
      <c r="AF238" s="120"/>
      <c r="AG238" s="120"/>
    </row>
    <row r="239" spans="4:33" x14ac:dyDescent="0.25">
      <c r="D239" s="120"/>
      <c r="H239" s="120"/>
      <c r="L239" s="120"/>
      <c r="P239" s="120"/>
      <c r="T239" s="120"/>
      <c r="X239" s="120"/>
      <c r="AB239" s="120"/>
      <c r="AF239" s="120"/>
      <c r="AG239" s="120"/>
    </row>
    <row r="240" spans="4:33" x14ac:dyDescent="0.25">
      <c r="D240" s="120"/>
      <c r="H240" s="120"/>
      <c r="L240" s="120"/>
      <c r="P240" s="120"/>
      <c r="T240" s="120"/>
      <c r="X240" s="120"/>
      <c r="AB240" s="120"/>
      <c r="AF240" s="120"/>
      <c r="AG240" s="120"/>
    </row>
    <row r="241" spans="4:33" x14ac:dyDescent="0.25">
      <c r="D241" s="120"/>
      <c r="H241" s="120"/>
      <c r="L241" s="120"/>
      <c r="P241" s="120"/>
      <c r="T241" s="120"/>
      <c r="X241" s="120"/>
      <c r="AB241" s="120"/>
      <c r="AF241" s="120"/>
      <c r="AG241" s="120"/>
    </row>
    <row r="242" spans="4:33" x14ac:dyDescent="0.25">
      <c r="D242" s="120"/>
      <c r="H242" s="120"/>
      <c r="L242" s="120"/>
      <c r="P242" s="120"/>
      <c r="T242" s="120"/>
      <c r="X242" s="120"/>
      <c r="AB242" s="120"/>
      <c r="AF242" s="120"/>
      <c r="AG242" s="120"/>
    </row>
    <row r="243" spans="4:33" x14ac:dyDescent="0.25">
      <c r="D243" s="120"/>
      <c r="H243" s="120"/>
      <c r="L243" s="120"/>
      <c r="P243" s="120"/>
      <c r="T243" s="120"/>
      <c r="X243" s="120"/>
      <c r="AB243" s="120"/>
      <c r="AF243" s="120"/>
      <c r="AG243" s="120"/>
    </row>
    <row r="244" spans="4:33" x14ac:dyDescent="0.25">
      <c r="D244" s="120"/>
      <c r="H244" s="120"/>
      <c r="L244" s="120"/>
      <c r="P244" s="120"/>
      <c r="T244" s="120"/>
      <c r="X244" s="120"/>
      <c r="AB244" s="120"/>
      <c r="AF244" s="120"/>
      <c r="AG244" s="120"/>
    </row>
    <row r="245" spans="4:33" x14ac:dyDescent="0.25">
      <c r="D245" s="120"/>
      <c r="H245" s="120"/>
      <c r="L245" s="120"/>
      <c r="P245" s="120"/>
      <c r="T245" s="120"/>
      <c r="X245" s="120"/>
      <c r="AB245" s="120"/>
      <c r="AF245" s="120"/>
      <c r="AG245" s="120"/>
    </row>
    <row r="246" spans="4:33" x14ac:dyDescent="0.25">
      <c r="D246" s="120"/>
      <c r="H246" s="120"/>
      <c r="L246" s="120"/>
      <c r="P246" s="120"/>
      <c r="T246" s="120"/>
      <c r="X246" s="120"/>
      <c r="AB246" s="120"/>
      <c r="AF246" s="120"/>
      <c r="AG246" s="120"/>
    </row>
    <row r="247" spans="4:33" x14ac:dyDescent="0.25">
      <c r="D247" s="120"/>
      <c r="H247" s="120"/>
      <c r="L247" s="120"/>
      <c r="P247" s="120"/>
      <c r="T247" s="120"/>
      <c r="X247" s="120"/>
      <c r="AB247" s="120"/>
      <c r="AF247" s="120"/>
      <c r="AG247" s="120"/>
    </row>
    <row r="248" spans="4:33" x14ac:dyDescent="0.25">
      <c r="D248" s="120"/>
      <c r="H248" s="120"/>
      <c r="L248" s="120"/>
      <c r="P248" s="120"/>
      <c r="T248" s="120"/>
      <c r="X248" s="120"/>
      <c r="AB248" s="120"/>
      <c r="AF248" s="120"/>
      <c r="AG248" s="120"/>
    </row>
    <row r="249" spans="4:33" x14ac:dyDescent="0.25">
      <c r="D249" s="120"/>
      <c r="H249" s="120"/>
      <c r="L249" s="120"/>
      <c r="P249" s="120"/>
      <c r="T249" s="120"/>
      <c r="X249" s="120"/>
      <c r="AB249" s="120"/>
      <c r="AF249" s="120"/>
      <c r="AG249" s="120"/>
    </row>
    <row r="250" spans="4:33" x14ac:dyDescent="0.25">
      <c r="D250" s="120"/>
      <c r="H250" s="120"/>
      <c r="L250" s="120"/>
      <c r="P250" s="120"/>
      <c r="T250" s="120"/>
      <c r="X250" s="120"/>
      <c r="AB250" s="120"/>
      <c r="AF250" s="120"/>
      <c r="AG250" s="120"/>
    </row>
    <row r="251" spans="4:33" x14ac:dyDescent="0.25">
      <c r="D251" s="120"/>
      <c r="H251" s="120"/>
      <c r="L251" s="120"/>
      <c r="P251" s="120"/>
      <c r="T251" s="120"/>
      <c r="X251" s="120"/>
      <c r="AB251" s="120"/>
      <c r="AF251" s="120"/>
      <c r="AG251" s="120"/>
    </row>
    <row r="252" spans="4:33" x14ac:dyDescent="0.25">
      <c r="D252" s="120"/>
      <c r="H252" s="120"/>
      <c r="L252" s="120"/>
      <c r="P252" s="120"/>
      <c r="T252" s="120"/>
      <c r="X252" s="120"/>
      <c r="AB252" s="120"/>
      <c r="AF252" s="120"/>
      <c r="AG252" s="120"/>
    </row>
    <row r="253" spans="4:33" x14ac:dyDescent="0.25">
      <c r="D253" s="120"/>
      <c r="H253" s="120"/>
      <c r="L253" s="120"/>
      <c r="P253" s="120"/>
      <c r="T253" s="120"/>
      <c r="X253" s="120"/>
      <c r="AB253" s="120"/>
      <c r="AF253" s="120"/>
      <c r="AG253" s="120"/>
    </row>
    <row r="254" spans="4:33" x14ac:dyDescent="0.25">
      <c r="D254" s="120"/>
      <c r="H254" s="120"/>
      <c r="L254" s="120"/>
      <c r="P254" s="120"/>
      <c r="T254" s="120"/>
      <c r="X254" s="120"/>
      <c r="AB254" s="120"/>
      <c r="AF254" s="120"/>
      <c r="AG254" s="120"/>
    </row>
    <row r="255" spans="4:33" x14ac:dyDescent="0.25">
      <c r="D255" s="120"/>
      <c r="H255" s="120"/>
      <c r="L255" s="120"/>
      <c r="P255" s="120"/>
      <c r="T255" s="120"/>
      <c r="X255" s="120"/>
      <c r="AB255" s="120"/>
      <c r="AF255" s="120"/>
      <c r="AG255" s="120"/>
    </row>
    <row r="256" spans="4:33" x14ac:dyDescent="0.25">
      <c r="D256" s="120"/>
      <c r="H256" s="120"/>
      <c r="L256" s="120"/>
      <c r="P256" s="120"/>
      <c r="T256" s="120"/>
      <c r="X256" s="120"/>
      <c r="AB256" s="120"/>
      <c r="AF256" s="120"/>
      <c r="AG256" s="120"/>
    </row>
    <row r="257" spans="4:33" x14ac:dyDescent="0.25">
      <c r="D257" s="120"/>
      <c r="H257" s="120"/>
      <c r="L257" s="120"/>
      <c r="P257" s="120"/>
      <c r="T257" s="120"/>
      <c r="X257" s="120"/>
      <c r="AB257" s="120"/>
      <c r="AF257" s="120"/>
      <c r="AG257" s="120"/>
    </row>
    <row r="258" spans="4:33" x14ac:dyDescent="0.25">
      <c r="D258" s="120"/>
      <c r="H258" s="120"/>
      <c r="L258" s="120"/>
      <c r="P258" s="120"/>
      <c r="T258" s="120"/>
      <c r="X258" s="120"/>
      <c r="AB258" s="120"/>
      <c r="AF258" s="120"/>
      <c r="AG258" s="120"/>
    </row>
    <row r="259" spans="4:33" x14ac:dyDescent="0.25">
      <c r="D259" s="120"/>
      <c r="H259" s="120"/>
      <c r="L259" s="120"/>
      <c r="P259" s="120"/>
      <c r="T259" s="120"/>
      <c r="X259" s="120"/>
      <c r="AB259" s="120"/>
      <c r="AF259" s="120"/>
      <c r="AG259" s="120"/>
    </row>
    <row r="260" spans="4:33" x14ac:dyDescent="0.25">
      <c r="D260" s="120"/>
      <c r="H260" s="120"/>
      <c r="L260" s="120"/>
      <c r="P260" s="120"/>
      <c r="T260" s="120"/>
      <c r="X260" s="120"/>
      <c r="AB260" s="120"/>
      <c r="AF260" s="120"/>
      <c r="AG260" s="120"/>
    </row>
    <row r="261" spans="4:33" x14ac:dyDescent="0.25">
      <c r="D261" s="120"/>
      <c r="H261" s="120"/>
      <c r="L261" s="120"/>
      <c r="P261" s="120"/>
      <c r="T261" s="120"/>
      <c r="X261" s="120"/>
      <c r="AB261" s="120"/>
      <c r="AF261" s="120"/>
      <c r="AG261" s="120"/>
    </row>
    <row r="262" spans="4:33" x14ac:dyDescent="0.25">
      <c r="D262" s="120"/>
      <c r="H262" s="120"/>
      <c r="L262" s="120"/>
      <c r="P262" s="120"/>
      <c r="T262" s="120"/>
      <c r="X262" s="120"/>
      <c r="AB262" s="120"/>
      <c r="AF262" s="120"/>
      <c r="AG262" s="120"/>
    </row>
    <row r="263" spans="4:33" x14ac:dyDescent="0.25">
      <c r="D263" s="120"/>
      <c r="H263" s="120"/>
      <c r="L263" s="120"/>
      <c r="P263" s="120"/>
      <c r="T263" s="120"/>
      <c r="X263" s="120"/>
      <c r="AB263" s="120"/>
      <c r="AF263" s="120"/>
      <c r="AG263" s="120"/>
    </row>
    <row r="264" spans="4:33" x14ac:dyDescent="0.25">
      <c r="D264" s="120"/>
      <c r="H264" s="120"/>
      <c r="L264" s="120"/>
      <c r="P264" s="120"/>
      <c r="T264" s="120"/>
      <c r="X264" s="120"/>
      <c r="AB264" s="120"/>
      <c r="AF264" s="120"/>
      <c r="AG264" s="120"/>
    </row>
    <row r="265" spans="4:33" x14ac:dyDescent="0.25">
      <c r="D265" s="120"/>
      <c r="H265" s="120"/>
      <c r="L265" s="120"/>
      <c r="P265" s="120"/>
      <c r="T265" s="120"/>
      <c r="X265" s="120"/>
      <c r="AB265" s="120"/>
      <c r="AF265" s="120"/>
      <c r="AG265" s="120"/>
    </row>
    <row r="266" spans="4:33" x14ac:dyDescent="0.25">
      <c r="D266" s="120"/>
      <c r="H266" s="120"/>
      <c r="L266" s="120"/>
      <c r="P266" s="120"/>
      <c r="T266" s="120"/>
      <c r="X266" s="120"/>
      <c r="AB266" s="120"/>
      <c r="AF266" s="120"/>
      <c r="AG266" s="120"/>
    </row>
    <row r="267" spans="4:33" x14ac:dyDescent="0.25">
      <c r="D267" s="120"/>
      <c r="H267" s="120"/>
      <c r="L267" s="120"/>
      <c r="P267" s="120"/>
      <c r="T267" s="120"/>
      <c r="X267" s="120"/>
      <c r="AB267" s="120"/>
      <c r="AF267" s="120"/>
      <c r="AG267" s="120"/>
    </row>
    <row r="268" spans="4:33" x14ac:dyDescent="0.25">
      <c r="D268" s="120"/>
      <c r="H268" s="120"/>
      <c r="L268" s="120"/>
      <c r="P268" s="120"/>
      <c r="T268" s="120"/>
      <c r="X268" s="120"/>
      <c r="AB268" s="120"/>
      <c r="AF268" s="120"/>
      <c r="AG268" s="120"/>
    </row>
    <row r="269" spans="4:33" x14ac:dyDescent="0.25">
      <c r="D269" s="120"/>
      <c r="H269" s="120"/>
      <c r="L269" s="120"/>
      <c r="P269" s="120"/>
      <c r="T269" s="120"/>
      <c r="X269" s="120"/>
      <c r="AB269" s="120"/>
      <c r="AF269" s="120"/>
      <c r="AG269" s="120"/>
    </row>
    <row r="270" spans="4:33" x14ac:dyDescent="0.25">
      <c r="D270" s="120"/>
      <c r="H270" s="120"/>
      <c r="L270" s="120"/>
      <c r="P270" s="120"/>
      <c r="T270" s="120"/>
      <c r="X270" s="120"/>
      <c r="AB270" s="120"/>
      <c r="AF270" s="120"/>
      <c r="AG270" s="120"/>
    </row>
    <row r="271" spans="4:33" x14ac:dyDescent="0.25">
      <c r="D271" s="120"/>
      <c r="H271" s="120"/>
      <c r="L271" s="120"/>
      <c r="P271" s="120"/>
      <c r="T271" s="120"/>
      <c r="X271" s="120"/>
      <c r="AB271" s="120"/>
      <c r="AF271" s="120"/>
      <c r="AG271" s="120"/>
    </row>
    <row r="272" spans="4:33" x14ac:dyDescent="0.25">
      <c r="D272" s="120"/>
      <c r="H272" s="120"/>
      <c r="L272" s="120"/>
      <c r="P272" s="120"/>
      <c r="T272" s="120"/>
      <c r="X272" s="120"/>
      <c r="AB272" s="120"/>
      <c r="AF272" s="120"/>
      <c r="AG272" s="120"/>
    </row>
    <row r="273" spans="4:33" x14ac:dyDescent="0.25">
      <c r="D273" s="120"/>
      <c r="H273" s="120"/>
      <c r="L273" s="120"/>
      <c r="P273" s="120"/>
      <c r="T273" s="120"/>
      <c r="X273" s="120"/>
      <c r="AB273" s="120"/>
      <c r="AF273" s="120"/>
      <c r="AG273" s="120"/>
    </row>
    <row r="274" spans="4:33" x14ac:dyDescent="0.25">
      <c r="D274" s="120"/>
      <c r="H274" s="120"/>
      <c r="L274" s="120"/>
      <c r="P274" s="120"/>
      <c r="T274" s="120"/>
      <c r="X274" s="120"/>
      <c r="AB274" s="120"/>
      <c r="AF274" s="120"/>
      <c r="AG274" s="120"/>
    </row>
    <row r="275" spans="4:33" x14ac:dyDescent="0.25">
      <c r="D275" s="120"/>
      <c r="H275" s="120"/>
      <c r="L275" s="120"/>
      <c r="P275" s="120"/>
      <c r="T275" s="120"/>
      <c r="X275" s="120"/>
      <c r="AB275" s="120"/>
      <c r="AF275" s="120"/>
      <c r="AG275" s="120"/>
    </row>
    <row r="276" spans="4:33" x14ac:dyDescent="0.25">
      <c r="D276" s="120"/>
      <c r="H276" s="120"/>
      <c r="L276" s="120"/>
      <c r="P276" s="120"/>
      <c r="T276" s="120"/>
      <c r="X276" s="120"/>
      <c r="AB276" s="120"/>
      <c r="AF276" s="120"/>
      <c r="AG276" s="120"/>
    </row>
    <row r="277" spans="4:33" x14ac:dyDescent="0.25">
      <c r="D277" s="120"/>
      <c r="H277" s="120"/>
      <c r="L277" s="120"/>
      <c r="P277" s="120"/>
      <c r="T277" s="120"/>
      <c r="X277" s="120"/>
      <c r="AB277" s="120"/>
      <c r="AF277" s="120"/>
      <c r="AG277" s="120"/>
    </row>
    <row r="278" spans="4:33" x14ac:dyDescent="0.25">
      <c r="D278" s="120"/>
      <c r="H278" s="120"/>
      <c r="L278" s="120"/>
      <c r="P278" s="120"/>
      <c r="T278" s="120"/>
      <c r="X278" s="120"/>
      <c r="AB278" s="120"/>
      <c r="AF278" s="120"/>
      <c r="AG278" s="120"/>
    </row>
    <row r="279" spans="4:33" x14ac:dyDescent="0.25">
      <c r="D279" s="120"/>
      <c r="H279" s="120"/>
      <c r="L279" s="120"/>
      <c r="P279" s="120"/>
      <c r="T279" s="120"/>
      <c r="X279" s="120"/>
      <c r="AB279" s="120"/>
      <c r="AF279" s="120"/>
      <c r="AG279" s="120"/>
    </row>
    <row r="280" spans="4:33" x14ac:dyDescent="0.25">
      <c r="D280" s="120"/>
      <c r="H280" s="120"/>
      <c r="L280" s="120"/>
      <c r="P280" s="120"/>
      <c r="T280" s="120"/>
      <c r="X280" s="120"/>
      <c r="AB280" s="120"/>
      <c r="AF280" s="120"/>
      <c r="AG280" s="120"/>
    </row>
    <row r="281" spans="4:33" x14ac:dyDescent="0.25">
      <c r="D281" s="120"/>
      <c r="H281" s="120"/>
      <c r="L281" s="120"/>
      <c r="P281" s="120"/>
      <c r="T281" s="120"/>
      <c r="X281" s="120"/>
      <c r="AB281" s="120"/>
      <c r="AF281" s="120"/>
      <c r="AG281" s="120"/>
    </row>
    <row r="282" spans="4:33" x14ac:dyDescent="0.25">
      <c r="D282" s="120"/>
      <c r="H282" s="120"/>
      <c r="L282" s="120"/>
      <c r="P282" s="120"/>
      <c r="T282" s="120"/>
      <c r="X282" s="120"/>
      <c r="AB282" s="120"/>
      <c r="AF282" s="120"/>
      <c r="AG282" s="120"/>
    </row>
    <row r="283" spans="4:33" x14ac:dyDescent="0.25">
      <c r="D283" s="120"/>
      <c r="H283" s="120"/>
      <c r="L283" s="120"/>
      <c r="P283" s="120"/>
      <c r="T283" s="120"/>
      <c r="X283" s="120"/>
      <c r="AB283" s="120"/>
      <c r="AF283" s="120"/>
      <c r="AG283" s="120"/>
    </row>
    <row r="284" spans="4:33" x14ac:dyDescent="0.25">
      <c r="D284" s="120"/>
      <c r="H284" s="120"/>
      <c r="L284" s="120"/>
      <c r="P284" s="120"/>
      <c r="T284" s="120"/>
      <c r="X284" s="120"/>
      <c r="AB284" s="120"/>
      <c r="AF284" s="120"/>
      <c r="AG284" s="120"/>
    </row>
    <row r="285" spans="4:33" x14ac:dyDescent="0.25">
      <c r="D285" s="120"/>
      <c r="H285" s="120"/>
      <c r="L285" s="120"/>
      <c r="P285" s="120"/>
      <c r="T285" s="120"/>
      <c r="X285" s="120"/>
      <c r="AB285" s="120"/>
      <c r="AF285" s="120"/>
      <c r="AG285" s="120"/>
    </row>
    <row r="286" spans="4:33" x14ac:dyDescent="0.25">
      <c r="D286" s="120"/>
      <c r="H286" s="120"/>
      <c r="L286" s="120"/>
      <c r="P286" s="120"/>
      <c r="T286" s="120"/>
      <c r="X286" s="120"/>
      <c r="AB286" s="120"/>
      <c r="AF286" s="120"/>
      <c r="AG286" s="120"/>
    </row>
    <row r="287" spans="4:33" x14ac:dyDescent="0.25">
      <c r="D287" s="120"/>
      <c r="H287" s="120"/>
      <c r="L287" s="120"/>
      <c r="P287" s="120"/>
      <c r="T287" s="120"/>
      <c r="X287" s="120"/>
      <c r="AB287" s="120"/>
      <c r="AF287" s="120"/>
      <c r="AG287" s="120"/>
    </row>
    <row r="288" spans="4:33" x14ac:dyDescent="0.25">
      <c r="D288" s="120"/>
      <c r="H288" s="120"/>
      <c r="L288" s="120"/>
      <c r="P288" s="120"/>
      <c r="T288" s="120"/>
      <c r="X288" s="120"/>
      <c r="AB288" s="120"/>
      <c r="AF288" s="120"/>
      <c r="AG288" s="120"/>
    </row>
    <row r="289" spans="4:33" x14ac:dyDescent="0.25">
      <c r="D289" s="120"/>
      <c r="H289" s="120"/>
      <c r="L289" s="120"/>
      <c r="P289" s="120"/>
      <c r="T289" s="120"/>
      <c r="X289" s="120"/>
      <c r="AB289" s="120"/>
      <c r="AF289" s="120"/>
      <c r="AG289" s="120"/>
    </row>
    <row r="290" spans="4:33" x14ac:dyDescent="0.25">
      <c r="D290" s="120"/>
      <c r="H290" s="120"/>
      <c r="L290" s="120"/>
      <c r="P290" s="120"/>
      <c r="T290" s="120"/>
      <c r="X290" s="120"/>
      <c r="AB290" s="120"/>
      <c r="AF290" s="120"/>
      <c r="AG290" s="120"/>
    </row>
    <row r="291" spans="4:33" x14ac:dyDescent="0.25">
      <c r="D291" s="120"/>
      <c r="H291" s="120"/>
      <c r="L291" s="120"/>
      <c r="P291" s="120"/>
      <c r="T291" s="120"/>
      <c r="X291" s="120"/>
      <c r="AB291" s="120"/>
      <c r="AF291" s="120"/>
      <c r="AG291" s="120"/>
    </row>
    <row r="292" spans="4:33" x14ac:dyDescent="0.25">
      <c r="D292" s="120"/>
      <c r="H292" s="120"/>
      <c r="L292" s="120"/>
      <c r="P292" s="120"/>
      <c r="T292" s="120"/>
      <c r="X292" s="120"/>
      <c r="AB292" s="120"/>
      <c r="AF292" s="120"/>
      <c r="AG292" s="120"/>
    </row>
    <row r="293" spans="4:33" x14ac:dyDescent="0.25">
      <c r="D293" s="120"/>
      <c r="H293" s="120"/>
      <c r="L293" s="120"/>
      <c r="P293" s="120"/>
      <c r="T293" s="120"/>
      <c r="X293" s="120"/>
      <c r="AB293" s="120"/>
      <c r="AF293" s="120"/>
      <c r="AG293" s="120"/>
    </row>
    <row r="294" spans="4:33" x14ac:dyDescent="0.25">
      <c r="D294" s="120"/>
      <c r="H294" s="120"/>
      <c r="L294" s="120"/>
      <c r="P294" s="120"/>
      <c r="T294" s="120"/>
      <c r="X294" s="120"/>
      <c r="AB294" s="120"/>
      <c r="AF294" s="120"/>
      <c r="AG294" s="120"/>
    </row>
    <row r="295" spans="4:33" x14ac:dyDescent="0.25">
      <c r="D295" s="120"/>
      <c r="H295" s="120"/>
      <c r="L295" s="120"/>
      <c r="P295" s="120"/>
      <c r="T295" s="120"/>
      <c r="X295" s="120"/>
      <c r="AB295" s="120"/>
      <c r="AF295" s="120"/>
      <c r="AG295" s="120"/>
    </row>
    <row r="296" spans="4:33" x14ac:dyDescent="0.25">
      <c r="D296" s="120"/>
      <c r="H296" s="120"/>
      <c r="L296" s="120"/>
      <c r="P296" s="120"/>
      <c r="T296" s="120"/>
      <c r="X296" s="120"/>
      <c r="AB296" s="120"/>
      <c r="AF296" s="120"/>
      <c r="AG296" s="120"/>
    </row>
    <row r="297" spans="4:33" x14ac:dyDescent="0.25">
      <c r="D297" s="120"/>
      <c r="H297" s="120"/>
      <c r="L297" s="120"/>
      <c r="P297" s="120"/>
      <c r="T297" s="120"/>
      <c r="X297" s="120"/>
      <c r="AB297" s="120"/>
      <c r="AF297" s="120"/>
      <c r="AG297" s="120"/>
    </row>
    <row r="298" spans="4:33" x14ac:dyDescent="0.25">
      <c r="D298" s="120"/>
      <c r="H298" s="120"/>
      <c r="L298" s="120"/>
      <c r="P298" s="120"/>
      <c r="T298" s="120"/>
      <c r="X298" s="120"/>
      <c r="AB298" s="120"/>
      <c r="AF298" s="120"/>
      <c r="AG298" s="120"/>
    </row>
    <row r="299" spans="4:33" x14ac:dyDescent="0.25">
      <c r="D299" s="120"/>
      <c r="H299" s="120"/>
      <c r="L299" s="120"/>
      <c r="P299" s="120"/>
      <c r="T299" s="120"/>
      <c r="X299" s="120"/>
      <c r="AB299" s="120"/>
      <c r="AF299" s="120"/>
      <c r="AG299" s="120"/>
    </row>
    <row r="300" spans="4:33" x14ac:dyDescent="0.25">
      <c r="D300" s="120"/>
      <c r="H300" s="120"/>
      <c r="L300" s="120"/>
      <c r="P300" s="120"/>
      <c r="T300" s="120"/>
      <c r="X300" s="120"/>
      <c r="AB300" s="120"/>
      <c r="AF300" s="120"/>
      <c r="AG300" s="120"/>
    </row>
    <row r="301" spans="4:33" x14ac:dyDescent="0.25">
      <c r="D301" s="120"/>
      <c r="H301" s="120"/>
      <c r="L301" s="120"/>
      <c r="P301" s="120"/>
      <c r="T301" s="120"/>
      <c r="X301" s="120"/>
      <c r="AB301" s="120"/>
      <c r="AF301" s="120"/>
      <c r="AG301" s="120"/>
    </row>
    <row r="302" spans="4:33" x14ac:dyDescent="0.25">
      <c r="D302" s="120"/>
      <c r="H302" s="120"/>
      <c r="L302" s="120"/>
      <c r="P302" s="120"/>
      <c r="T302" s="120"/>
      <c r="X302" s="120"/>
      <c r="AB302" s="120"/>
      <c r="AF302" s="120"/>
      <c r="AG302" s="120"/>
    </row>
    <row r="303" spans="4:33" x14ac:dyDescent="0.25">
      <c r="D303" s="120"/>
      <c r="H303" s="120"/>
      <c r="L303" s="120"/>
      <c r="P303" s="120"/>
      <c r="T303" s="120"/>
      <c r="X303" s="120"/>
      <c r="AB303" s="120"/>
      <c r="AF303" s="120"/>
      <c r="AG303" s="120"/>
    </row>
    <row r="304" spans="4:33" x14ac:dyDescent="0.25">
      <c r="D304" s="120"/>
      <c r="H304" s="120"/>
      <c r="L304" s="120"/>
      <c r="P304" s="120"/>
      <c r="T304" s="120"/>
      <c r="X304" s="120"/>
      <c r="AB304" s="120"/>
      <c r="AF304" s="120"/>
      <c r="AG304" s="120"/>
    </row>
    <row r="305" spans="4:33" x14ac:dyDescent="0.25">
      <c r="D305" s="120"/>
      <c r="H305" s="120"/>
      <c r="L305" s="120"/>
      <c r="P305" s="120"/>
      <c r="T305" s="120"/>
      <c r="X305" s="120"/>
      <c r="AB305" s="120"/>
      <c r="AF305" s="120"/>
      <c r="AG305" s="120"/>
    </row>
    <row r="306" spans="4:33" x14ac:dyDescent="0.25">
      <c r="D306" s="120"/>
      <c r="H306" s="120"/>
      <c r="L306" s="120"/>
      <c r="P306" s="120"/>
      <c r="T306" s="120"/>
      <c r="X306" s="120"/>
      <c r="AB306" s="120"/>
      <c r="AF306" s="120"/>
      <c r="AG306" s="120"/>
    </row>
    <row r="307" spans="4:33" x14ac:dyDescent="0.25">
      <c r="D307" s="120"/>
      <c r="H307" s="120"/>
      <c r="L307" s="120"/>
      <c r="P307" s="120"/>
      <c r="T307" s="120"/>
      <c r="X307" s="120"/>
      <c r="AB307" s="120"/>
      <c r="AF307" s="120"/>
      <c r="AG307" s="120"/>
    </row>
    <row r="308" spans="4:33" x14ac:dyDescent="0.25">
      <c r="D308" s="120"/>
      <c r="H308" s="120"/>
      <c r="L308" s="120"/>
      <c r="P308" s="120"/>
      <c r="T308" s="120"/>
      <c r="X308" s="120"/>
      <c r="AB308" s="120"/>
      <c r="AF308" s="120"/>
      <c r="AG308" s="120"/>
    </row>
    <row r="309" spans="4:33" x14ac:dyDescent="0.25">
      <c r="D309" s="120"/>
      <c r="H309" s="120"/>
      <c r="L309" s="120"/>
      <c r="P309" s="120"/>
      <c r="T309" s="120"/>
      <c r="X309" s="120"/>
      <c r="AB309" s="120"/>
      <c r="AF309" s="120"/>
      <c r="AG309" s="120"/>
    </row>
    <row r="310" spans="4:33" x14ac:dyDescent="0.25">
      <c r="D310" s="120"/>
      <c r="H310" s="120"/>
      <c r="L310" s="120"/>
      <c r="P310" s="120"/>
      <c r="T310" s="120"/>
      <c r="X310" s="120"/>
      <c r="AB310" s="120"/>
      <c r="AF310" s="120"/>
      <c r="AG310" s="120"/>
    </row>
    <row r="311" spans="4:33" x14ac:dyDescent="0.25">
      <c r="D311" s="120"/>
      <c r="H311" s="120"/>
      <c r="L311" s="120"/>
      <c r="P311" s="120"/>
      <c r="T311" s="120"/>
      <c r="X311" s="120"/>
      <c r="AB311" s="120"/>
      <c r="AF311" s="120"/>
      <c r="AG311" s="120"/>
    </row>
    <row r="312" spans="4:33" x14ac:dyDescent="0.25">
      <c r="D312" s="120"/>
      <c r="H312" s="120"/>
      <c r="L312" s="120"/>
      <c r="P312" s="120"/>
      <c r="T312" s="120"/>
      <c r="X312" s="120"/>
      <c r="AB312" s="120"/>
      <c r="AF312" s="120"/>
      <c r="AG312" s="120"/>
    </row>
    <row r="313" spans="4:33" x14ac:dyDescent="0.25">
      <c r="D313" s="120"/>
      <c r="H313" s="120"/>
      <c r="L313" s="120"/>
      <c r="P313" s="120"/>
      <c r="T313" s="120"/>
      <c r="X313" s="120"/>
      <c r="AB313" s="120"/>
      <c r="AF313" s="120"/>
      <c r="AG313" s="120"/>
    </row>
    <row r="314" spans="4:33" x14ac:dyDescent="0.25">
      <c r="D314" s="120"/>
      <c r="H314" s="120"/>
      <c r="L314" s="120"/>
      <c r="P314" s="120"/>
      <c r="T314" s="120"/>
      <c r="X314" s="120"/>
      <c r="AB314" s="120"/>
      <c r="AF314" s="120"/>
      <c r="AG314" s="120"/>
    </row>
    <row r="315" spans="4:33" x14ac:dyDescent="0.25">
      <c r="D315" s="120"/>
      <c r="H315" s="120"/>
      <c r="L315" s="120"/>
      <c r="P315" s="120"/>
      <c r="T315" s="120"/>
      <c r="X315" s="120"/>
      <c r="AB315" s="120"/>
      <c r="AF315" s="120"/>
      <c r="AG315" s="120"/>
    </row>
    <row r="316" spans="4:33" x14ac:dyDescent="0.25">
      <c r="D316" s="120"/>
      <c r="H316" s="120"/>
      <c r="L316" s="120"/>
      <c r="P316" s="120"/>
      <c r="T316" s="120"/>
      <c r="X316" s="120"/>
      <c r="AB316" s="120"/>
      <c r="AF316" s="120"/>
      <c r="AG316" s="120"/>
    </row>
    <row r="317" spans="4:33" x14ac:dyDescent="0.25">
      <c r="D317" s="120"/>
      <c r="H317" s="120"/>
      <c r="L317" s="120"/>
      <c r="P317" s="120"/>
      <c r="T317" s="120"/>
      <c r="X317" s="120"/>
      <c r="AB317" s="120"/>
      <c r="AF317" s="120"/>
      <c r="AG317" s="120"/>
    </row>
    <row r="318" spans="4:33" x14ac:dyDescent="0.25">
      <c r="D318" s="120"/>
      <c r="H318" s="120"/>
      <c r="L318" s="120"/>
      <c r="P318" s="120"/>
      <c r="T318" s="120"/>
      <c r="X318" s="120"/>
      <c r="AB318" s="120"/>
      <c r="AF318" s="120"/>
      <c r="AG318" s="120"/>
    </row>
    <row r="319" spans="4:33" x14ac:dyDescent="0.25">
      <c r="D319" s="120"/>
      <c r="H319" s="120"/>
      <c r="L319" s="120"/>
      <c r="P319" s="120"/>
      <c r="T319" s="120"/>
      <c r="X319" s="120"/>
      <c r="AB319" s="120"/>
      <c r="AF319" s="120"/>
      <c r="AG319" s="120"/>
    </row>
    <row r="320" spans="4:33" x14ac:dyDescent="0.25">
      <c r="D320" s="120"/>
      <c r="H320" s="120"/>
      <c r="L320" s="120"/>
      <c r="P320" s="120"/>
      <c r="T320" s="120"/>
      <c r="X320" s="120"/>
      <c r="AB320" s="120"/>
      <c r="AF320" s="120"/>
      <c r="AG320" s="120"/>
    </row>
    <row r="321" spans="4:33" x14ac:dyDescent="0.25">
      <c r="D321" s="120"/>
      <c r="H321" s="120"/>
      <c r="L321" s="120"/>
      <c r="P321" s="120"/>
      <c r="T321" s="120"/>
      <c r="X321" s="120"/>
      <c r="AB321" s="120"/>
      <c r="AF321" s="120"/>
      <c r="AG321" s="120"/>
    </row>
    <row r="322" spans="4:33" x14ac:dyDescent="0.25">
      <c r="D322" s="120"/>
      <c r="H322" s="120"/>
      <c r="L322" s="120"/>
      <c r="P322" s="120"/>
      <c r="T322" s="120"/>
      <c r="X322" s="120"/>
      <c r="AB322" s="120"/>
      <c r="AF322" s="120"/>
      <c r="AG322" s="120"/>
    </row>
    <row r="323" spans="4:33" x14ac:dyDescent="0.25">
      <c r="D323" s="120"/>
      <c r="H323" s="120"/>
      <c r="L323" s="120"/>
      <c r="P323" s="120"/>
      <c r="T323" s="120"/>
      <c r="X323" s="120"/>
      <c r="AB323" s="120"/>
      <c r="AF323" s="120"/>
      <c r="AG323" s="120"/>
    </row>
    <row r="324" spans="4:33" x14ac:dyDescent="0.25">
      <c r="D324" s="120"/>
      <c r="H324" s="120"/>
      <c r="L324" s="120"/>
      <c r="P324" s="120"/>
      <c r="T324" s="120"/>
      <c r="X324" s="120"/>
      <c r="AB324" s="120"/>
      <c r="AF324" s="120"/>
      <c r="AG324" s="120"/>
    </row>
    <row r="325" spans="4:33" x14ac:dyDescent="0.25">
      <c r="D325" s="120"/>
      <c r="H325" s="120"/>
      <c r="L325" s="120"/>
      <c r="P325" s="120"/>
      <c r="T325" s="120"/>
      <c r="X325" s="120"/>
      <c r="AB325" s="120"/>
      <c r="AF325" s="120"/>
      <c r="AG325" s="120"/>
    </row>
    <row r="326" spans="4:33" x14ac:dyDescent="0.25">
      <c r="D326" s="120"/>
      <c r="H326" s="120"/>
      <c r="L326" s="120"/>
      <c r="P326" s="120"/>
      <c r="T326" s="120"/>
      <c r="X326" s="120"/>
      <c r="AB326" s="120"/>
      <c r="AF326" s="120"/>
      <c r="AG326" s="120"/>
    </row>
    <row r="327" spans="4:33" x14ac:dyDescent="0.25">
      <c r="D327" s="120"/>
      <c r="H327" s="120"/>
      <c r="L327" s="120"/>
      <c r="P327" s="120"/>
      <c r="T327" s="120"/>
      <c r="X327" s="120"/>
      <c r="AB327" s="120"/>
      <c r="AF327" s="120"/>
      <c r="AG327" s="120"/>
    </row>
    <row r="328" spans="4:33" x14ac:dyDescent="0.25">
      <c r="D328" s="120"/>
      <c r="H328" s="120"/>
      <c r="L328" s="120"/>
      <c r="P328" s="120"/>
      <c r="T328" s="120"/>
      <c r="X328" s="120"/>
      <c r="AB328" s="120"/>
      <c r="AF328" s="120"/>
      <c r="AG328" s="120"/>
    </row>
    <row r="329" spans="4:33" x14ac:dyDescent="0.25">
      <c r="D329" s="120"/>
      <c r="H329" s="120"/>
      <c r="L329" s="120"/>
      <c r="P329" s="120"/>
      <c r="T329" s="120"/>
      <c r="X329" s="120"/>
      <c r="AB329" s="120"/>
      <c r="AF329" s="120"/>
      <c r="AG329" s="120"/>
    </row>
    <row r="330" spans="4:33" x14ac:dyDescent="0.25">
      <c r="D330" s="120"/>
      <c r="H330" s="120"/>
      <c r="L330" s="120"/>
      <c r="P330" s="120"/>
      <c r="T330" s="120"/>
      <c r="X330" s="120"/>
      <c r="AB330" s="120"/>
      <c r="AF330" s="120"/>
      <c r="AG330" s="120"/>
    </row>
    <row r="331" spans="4:33" x14ac:dyDescent="0.25">
      <c r="D331" s="120"/>
      <c r="H331" s="120"/>
      <c r="L331" s="120"/>
      <c r="P331" s="120"/>
      <c r="T331" s="120"/>
      <c r="X331" s="120"/>
      <c r="AB331" s="120"/>
      <c r="AF331" s="120"/>
      <c r="AG331" s="120"/>
    </row>
    <row r="332" spans="4:33" x14ac:dyDescent="0.25">
      <c r="D332" s="120"/>
      <c r="H332" s="120"/>
      <c r="L332" s="120"/>
      <c r="P332" s="120"/>
      <c r="T332" s="120"/>
      <c r="X332" s="120"/>
      <c r="AB332" s="120"/>
      <c r="AF332" s="120"/>
      <c r="AG332" s="120"/>
    </row>
    <row r="333" spans="4:33" x14ac:dyDescent="0.25">
      <c r="D333" s="120"/>
      <c r="H333" s="120"/>
      <c r="L333" s="120"/>
      <c r="P333" s="120"/>
      <c r="T333" s="120"/>
      <c r="X333" s="120"/>
      <c r="AB333" s="120"/>
      <c r="AF333" s="120"/>
      <c r="AG333" s="120"/>
    </row>
    <row r="334" spans="4:33" x14ac:dyDescent="0.25">
      <c r="D334" s="120"/>
      <c r="H334" s="120"/>
      <c r="L334" s="120"/>
      <c r="P334" s="120"/>
      <c r="T334" s="120"/>
      <c r="X334" s="120"/>
      <c r="AB334" s="120"/>
      <c r="AF334" s="120"/>
      <c r="AG334" s="120"/>
    </row>
    <row r="335" spans="4:33" x14ac:dyDescent="0.25">
      <c r="D335" s="120"/>
      <c r="H335" s="120"/>
      <c r="L335" s="120"/>
      <c r="P335" s="120"/>
      <c r="T335" s="120"/>
      <c r="X335" s="120"/>
      <c r="AB335" s="120"/>
      <c r="AF335" s="120"/>
      <c r="AG335" s="120"/>
    </row>
  </sheetData>
  <mergeCells count="9">
    <mergeCell ref="D3:F3"/>
    <mergeCell ref="T3:V3"/>
    <mergeCell ref="X3:Z3"/>
    <mergeCell ref="AB3:AD3"/>
    <mergeCell ref="AK3:AN3"/>
    <mergeCell ref="AF3:AI3"/>
    <mergeCell ref="P3:R3"/>
    <mergeCell ref="H3:J3"/>
    <mergeCell ref="L3:N3"/>
  </mergeCells>
  <pageMargins left="0.75" right="0.75" top="1" bottom="1" header="0.5" footer="0.5"/>
  <pageSetup paperSize="5" scale="61" orientation="landscape" r:id="rId1"/>
  <headerFooter alignWithMargins="0">
    <oddHeader>&amp;C&amp;"-,Bold"Proposed Budget &amp; Analysis Report for FY20</oddHeader>
    <oddFooter>&amp;C&amp;D&amp;T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3:AQ373"/>
  <sheetViews>
    <sheetView zoomScaleNormal="100" zoomScaleSheetLayoutView="100" workbookViewId="0"/>
  </sheetViews>
  <sheetFormatPr defaultRowHeight="13.5" x14ac:dyDescent="0.25"/>
  <cols>
    <col min="1" max="1" width="19" style="394" bestFit="1" customWidth="1"/>
    <col min="2" max="2" width="5" style="394" customWidth="1"/>
    <col min="3" max="3" width="40.85546875" style="394" customWidth="1"/>
    <col min="4" max="4" width="13.28515625" style="394" hidden="1" customWidth="1"/>
    <col min="5" max="5" width="12.28515625" style="394" hidden="1" customWidth="1"/>
    <col min="6" max="6" width="7.7109375" style="394" hidden="1" customWidth="1"/>
    <col min="7" max="7" width="1.5703125" style="397" hidden="1" customWidth="1"/>
    <col min="8" max="8" width="13.28515625" style="394" hidden="1" customWidth="1"/>
    <col min="9" max="9" width="12.28515625" style="394" hidden="1" customWidth="1"/>
    <col min="10" max="10" width="7.7109375" style="394" hidden="1" customWidth="1"/>
    <col min="11" max="11" width="1.5703125" style="397" hidden="1" customWidth="1"/>
    <col min="12" max="12" width="13.28515625" style="394" hidden="1" customWidth="1"/>
    <col min="13" max="13" width="11.42578125" style="394" hidden="1" customWidth="1"/>
    <col min="14" max="14" width="7.7109375" style="394" hidden="1" customWidth="1"/>
    <col min="15" max="15" width="1.5703125" style="397" hidden="1" customWidth="1"/>
    <col min="16" max="16" width="13.28515625" style="394" hidden="1" customWidth="1"/>
    <col min="17" max="17" width="11.42578125" style="394" hidden="1" customWidth="1"/>
    <col min="18" max="18" width="7.7109375" style="394" hidden="1" customWidth="1"/>
    <col min="19" max="19" width="1.5703125" style="397" hidden="1" customWidth="1"/>
    <col min="20" max="20" width="13.28515625" style="394" hidden="1" customWidth="1"/>
    <col min="21" max="21" width="11.42578125" style="394" hidden="1" customWidth="1"/>
    <col min="22" max="22" width="7.7109375" style="394" hidden="1" customWidth="1"/>
    <col min="23" max="23" width="1.5703125" style="397" hidden="1" customWidth="1"/>
    <col min="24" max="24" width="11.5703125" style="394" hidden="1" customWidth="1"/>
    <col min="25" max="25" width="12.28515625" style="394" hidden="1" customWidth="1"/>
    <col min="26" max="26" width="7.7109375" style="394" hidden="1" customWidth="1"/>
    <col min="27" max="27" width="1.5703125" style="397" hidden="1" customWidth="1"/>
    <col min="28" max="28" width="11.5703125" style="394" customWidth="1"/>
    <col min="29" max="29" width="12.28515625" style="394" bestFit="1" customWidth="1"/>
    <col min="30" max="30" width="9.5703125" style="394" bestFit="1" customWidth="1"/>
    <col min="31" max="31" width="1.5703125" style="397" customWidth="1"/>
    <col min="32" max="32" width="11.5703125" style="394" customWidth="1"/>
    <col min="33" max="33" width="12.28515625" style="394" bestFit="1" customWidth="1"/>
    <col min="34" max="34" width="7.7109375" style="394" bestFit="1" customWidth="1"/>
    <col min="35" max="35" width="1.85546875" style="394" customWidth="1"/>
    <col min="36" max="36" width="11.5703125" style="394" customWidth="1"/>
    <col min="37" max="37" width="12.28515625" style="394" bestFit="1" customWidth="1"/>
    <col min="38" max="38" width="7.7109375" style="394" bestFit="1" customWidth="1"/>
    <col min="39" max="39" width="1.85546875" style="394" customWidth="1"/>
    <col min="40" max="40" width="11.42578125" style="399" customWidth="1"/>
    <col min="41" max="41" width="12.42578125" style="399" customWidth="1"/>
    <col min="42" max="42" width="9.5703125" style="394" bestFit="1" customWidth="1"/>
    <col min="43" max="43" width="25.7109375" style="394" customWidth="1"/>
    <col min="44" max="16384" width="9.140625" style="394"/>
  </cols>
  <sheetData>
    <row r="3" spans="1:43" x14ac:dyDescent="0.25">
      <c r="A3" s="111"/>
      <c r="D3" s="807" t="s">
        <v>1366</v>
      </c>
      <c r="E3" s="808"/>
      <c r="F3" s="809"/>
      <c r="G3" s="124"/>
      <c r="H3" s="807" t="s">
        <v>1365</v>
      </c>
      <c r="I3" s="808"/>
      <c r="J3" s="809"/>
      <c r="K3" s="124"/>
      <c r="L3" s="807" t="s">
        <v>1364</v>
      </c>
      <c r="M3" s="808"/>
      <c r="N3" s="809"/>
      <c r="O3" s="124"/>
      <c r="P3" s="807" t="s">
        <v>110</v>
      </c>
      <c r="Q3" s="808"/>
      <c r="R3" s="809"/>
      <c r="S3" s="124"/>
      <c r="T3" s="807" t="s">
        <v>271</v>
      </c>
      <c r="U3" s="808"/>
      <c r="V3" s="809"/>
      <c r="W3" s="124"/>
      <c r="X3" s="807" t="s">
        <v>980</v>
      </c>
      <c r="Y3" s="808"/>
      <c r="Z3" s="809"/>
      <c r="AA3" s="124"/>
      <c r="AB3" s="807" t="s">
        <v>1124</v>
      </c>
      <c r="AC3" s="808"/>
      <c r="AD3" s="809"/>
      <c r="AE3" s="124"/>
      <c r="AF3" s="807" t="s">
        <v>1363</v>
      </c>
      <c r="AG3" s="808"/>
      <c r="AH3" s="809"/>
      <c r="AI3" s="419"/>
      <c r="AJ3" s="807" t="s">
        <v>1592</v>
      </c>
      <c r="AK3" s="808"/>
      <c r="AL3" s="809"/>
      <c r="AM3" s="458"/>
      <c r="AN3" s="805" t="s">
        <v>1593</v>
      </c>
      <c r="AO3" s="805"/>
      <c r="AP3" s="805"/>
      <c r="AQ3" s="805"/>
    </row>
    <row r="4" spans="1:43" s="111" customFormat="1" ht="27" x14ac:dyDescent="0.25">
      <c r="A4" s="272"/>
      <c r="B4" s="272"/>
      <c r="C4" s="308" t="s">
        <v>1999</v>
      </c>
      <c r="D4" s="106" t="s">
        <v>98</v>
      </c>
      <c r="E4" s="106" t="s">
        <v>27</v>
      </c>
      <c r="F4" s="106" t="s">
        <v>273</v>
      </c>
      <c r="G4" s="58"/>
      <c r="H4" s="106" t="s">
        <v>98</v>
      </c>
      <c r="I4" s="106" t="s">
        <v>27</v>
      </c>
      <c r="J4" s="106" t="s">
        <v>273</v>
      </c>
      <c r="K4" s="58"/>
      <c r="L4" s="106" t="s">
        <v>98</v>
      </c>
      <c r="M4" s="106" t="s">
        <v>27</v>
      </c>
      <c r="N4" s="106" t="s">
        <v>273</v>
      </c>
      <c r="O4" s="58"/>
      <c r="P4" s="106" t="s">
        <v>98</v>
      </c>
      <c r="Q4" s="106" t="s">
        <v>27</v>
      </c>
      <c r="R4" s="106" t="s">
        <v>273</v>
      </c>
      <c r="S4" s="58"/>
      <c r="T4" s="106" t="s">
        <v>98</v>
      </c>
      <c r="U4" s="106" t="s">
        <v>27</v>
      </c>
      <c r="V4" s="106" t="s">
        <v>273</v>
      </c>
      <c r="W4" s="58"/>
      <c r="X4" s="106" t="s">
        <v>1504</v>
      </c>
      <c r="Y4" s="106" t="s">
        <v>27</v>
      </c>
      <c r="Z4" s="106" t="s">
        <v>273</v>
      </c>
      <c r="AA4" s="58"/>
      <c r="AB4" s="106" t="s">
        <v>1504</v>
      </c>
      <c r="AC4" s="106" t="s">
        <v>27</v>
      </c>
      <c r="AD4" s="106" t="s">
        <v>273</v>
      </c>
      <c r="AE4" s="58"/>
      <c r="AF4" s="106" t="s">
        <v>1504</v>
      </c>
      <c r="AG4" s="106" t="s">
        <v>27</v>
      </c>
      <c r="AH4" s="106" t="s">
        <v>273</v>
      </c>
      <c r="AI4" s="106"/>
      <c r="AJ4" s="106" t="s">
        <v>1504</v>
      </c>
      <c r="AK4" s="439" t="s">
        <v>1714</v>
      </c>
      <c r="AL4" s="106" t="s">
        <v>273</v>
      </c>
      <c r="AM4" s="106"/>
      <c r="AN4" s="108" t="s">
        <v>1504</v>
      </c>
      <c r="AO4" s="108" t="s">
        <v>107</v>
      </c>
      <c r="AP4" s="109" t="s">
        <v>28</v>
      </c>
      <c r="AQ4" s="198" t="s">
        <v>275</v>
      </c>
    </row>
    <row r="5" spans="1:43" x14ac:dyDescent="0.25">
      <c r="C5" s="111"/>
      <c r="AN5" s="397"/>
      <c r="AO5" s="397"/>
      <c r="AQ5" s="111"/>
    </row>
    <row r="6" spans="1:43" x14ac:dyDescent="0.25">
      <c r="A6" s="111" t="s">
        <v>272</v>
      </c>
      <c r="D6" s="112"/>
      <c r="E6" s="112"/>
      <c r="F6" s="111"/>
      <c r="H6" s="112"/>
      <c r="I6" s="112"/>
      <c r="J6" s="111"/>
      <c r="L6" s="112"/>
      <c r="M6" s="112"/>
      <c r="N6" s="111"/>
      <c r="P6" s="112"/>
      <c r="Q6" s="112"/>
      <c r="R6" s="111"/>
      <c r="T6" s="112"/>
      <c r="U6" s="112"/>
      <c r="V6" s="111"/>
      <c r="X6" s="112"/>
      <c r="Y6" s="112"/>
      <c r="Z6" s="111"/>
      <c r="AB6" s="112"/>
      <c r="AC6" s="112"/>
      <c r="AD6" s="111"/>
      <c r="AF6" s="218"/>
      <c r="AG6" s="112"/>
      <c r="AH6" s="111"/>
      <c r="AI6" s="111"/>
      <c r="AJ6" s="218"/>
      <c r="AK6" s="112"/>
      <c r="AL6" s="111"/>
      <c r="AM6" s="111"/>
      <c r="AN6" s="218"/>
      <c r="AO6" s="218"/>
      <c r="AP6" s="111"/>
    </row>
    <row r="7" spans="1:43"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c r="AC7" s="225"/>
      <c r="AD7" s="226"/>
      <c r="AE7" s="224"/>
      <c r="AF7" s="227"/>
      <c r="AG7" s="225"/>
      <c r="AH7" s="226"/>
      <c r="AI7" s="226"/>
      <c r="AJ7" s="227"/>
      <c r="AK7" s="225"/>
      <c r="AL7" s="226"/>
      <c r="AM7" s="226"/>
      <c r="AN7" s="227"/>
      <c r="AO7" s="225"/>
      <c r="AP7" s="226"/>
      <c r="AQ7" s="224"/>
    </row>
    <row r="8" spans="1:43" x14ac:dyDescent="0.25">
      <c r="D8" s="112"/>
      <c r="E8" s="112"/>
      <c r="F8" s="111"/>
      <c r="H8" s="112"/>
      <c r="I8" s="112"/>
      <c r="J8" s="111"/>
      <c r="L8" s="112"/>
      <c r="M8" s="112"/>
      <c r="N8" s="111"/>
      <c r="P8" s="112"/>
      <c r="Q8" s="112"/>
      <c r="R8" s="111"/>
      <c r="T8" s="112"/>
      <c r="U8" s="112"/>
      <c r="V8" s="111"/>
      <c r="X8" s="112"/>
      <c r="Y8" s="112"/>
      <c r="Z8" s="111"/>
      <c r="AB8" s="112"/>
      <c r="AC8" s="112"/>
      <c r="AD8" s="111"/>
      <c r="AF8" s="218"/>
      <c r="AG8" s="112"/>
      <c r="AH8" s="111"/>
      <c r="AI8" s="111"/>
      <c r="AJ8" s="218"/>
      <c r="AK8" s="112"/>
      <c r="AL8" s="111"/>
      <c r="AM8" s="111"/>
      <c r="AN8" s="218"/>
      <c r="AO8" s="218"/>
      <c r="AP8" s="111"/>
    </row>
    <row r="9" spans="1:43" x14ac:dyDescent="0.25">
      <c r="C9" s="111" t="s">
        <v>277</v>
      </c>
      <c r="D9" s="112"/>
      <c r="E9" s="112"/>
      <c r="F9" s="111"/>
      <c r="H9" s="112"/>
      <c r="I9" s="112"/>
      <c r="J9" s="111"/>
      <c r="L9" s="112"/>
      <c r="M9" s="112"/>
      <c r="N9" s="111"/>
      <c r="P9" s="112"/>
      <c r="Q9" s="112"/>
      <c r="R9" s="111"/>
      <c r="T9" s="112"/>
      <c r="U9" s="112"/>
      <c r="V9" s="111"/>
      <c r="X9" s="112"/>
      <c r="Y9" s="112"/>
      <c r="Z9" s="111"/>
      <c r="AB9" s="112"/>
      <c r="AC9" s="112"/>
      <c r="AD9" s="111"/>
      <c r="AF9" s="218"/>
      <c r="AG9" s="112"/>
      <c r="AH9" s="111"/>
      <c r="AI9" s="111"/>
      <c r="AJ9" s="218"/>
      <c r="AK9" s="112"/>
      <c r="AL9" s="111"/>
      <c r="AM9" s="111"/>
      <c r="AN9" s="218"/>
      <c r="AO9" s="218"/>
      <c r="AP9" s="111"/>
      <c r="AQ9" s="111"/>
    </row>
    <row r="10" spans="1:43" x14ac:dyDescent="0.25">
      <c r="A10" s="395" t="s">
        <v>1505</v>
      </c>
      <c r="B10" s="395" t="str">
        <f>MID(A10,14,4)</f>
        <v>5640</v>
      </c>
      <c r="C10" s="394" t="s">
        <v>1912</v>
      </c>
      <c r="D10" s="112">
        <v>0</v>
      </c>
      <c r="E10" s="112">
        <v>0</v>
      </c>
      <c r="F10" s="111"/>
      <c r="H10" s="112">
        <v>0</v>
      </c>
      <c r="I10" s="112">
        <v>1657</v>
      </c>
      <c r="J10" s="111"/>
      <c r="L10" s="112">
        <v>0</v>
      </c>
      <c r="M10" s="112">
        <v>2897</v>
      </c>
      <c r="N10" s="111"/>
      <c r="P10" s="112">
        <v>0</v>
      </c>
      <c r="Q10" s="112">
        <v>313</v>
      </c>
      <c r="R10" s="111"/>
      <c r="T10" s="112">
        <v>0</v>
      </c>
      <c r="U10" s="112">
        <v>2695</v>
      </c>
      <c r="V10" s="111"/>
      <c r="X10" s="112">
        <v>0</v>
      </c>
      <c r="Y10" s="112">
        <v>3685</v>
      </c>
      <c r="Z10" s="111"/>
      <c r="AB10" s="112">
        <v>3774</v>
      </c>
      <c r="AC10" s="112">
        <v>3774</v>
      </c>
      <c r="AD10" s="111"/>
      <c r="AF10" s="113">
        <v>3519</v>
      </c>
      <c r="AG10" s="112">
        <v>3528</v>
      </c>
      <c r="AH10" s="89">
        <f>(AF10-AB10)/AB10</f>
        <v>-6.7567567567567571E-2</v>
      </c>
      <c r="AI10" s="396"/>
      <c r="AJ10" s="113">
        <v>3606</v>
      </c>
      <c r="AK10" s="112">
        <v>903</v>
      </c>
      <c r="AL10" s="89">
        <f>(AJ10-AF10)/AF10</f>
        <v>2.4722932651321399E-2</v>
      </c>
      <c r="AM10" s="396"/>
      <c r="AN10" s="113">
        <v>3606</v>
      </c>
      <c r="AO10" s="218">
        <f>AN10-AJ10</f>
        <v>0</v>
      </c>
      <c r="AP10" s="89">
        <f>(AN10-AJ10)/AJ10</f>
        <v>0</v>
      </c>
      <c r="AQ10" s="400"/>
    </row>
    <row r="11" spans="1:43" x14ac:dyDescent="0.25">
      <c r="A11" s="395" t="s">
        <v>1506</v>
      </c>
      <c r="B11" s="395" t="str">
        <f>MID(A11,14,4)</f>
        <v>5646</v>
      </c>
      <c r="C11" s="394" t="s">
        <v>1913</v>
      </c>
      <c r="D11" s="112">
        <v>0</v>
      </c>
      <c r="E11" s="112">
        <v>0</v>
      </c>
      <c r="F11" s="111"/>
      <c r="H11" s="112">
        <v>0</v>
      </c>
      <c r="I11" s="112">
        <v>846</v>
      </c>
      <c r="J11" s="111"/>
      <c r="L11" s="112">
        <v>0</v>
      </c>
      <c r="M11" s="112">
        <v>885</v>
      </c>
      <c r="N11" s="111"/>
      <c r="P11" s="112">
        <v>0</v>
      </c>
      <c r="Q11" s="112">
        <v>0</v>
      </c>
      <c r="R11" s="111"/>
      <c r="T11" s="112">
        <v>0</v>
      </c>
      <c r="U11" s="112">
        <v>720</v>
      </c>
      <c r="V11" s="111"/>
      <c r="X11" s="112">
        <v>0</v>
      </c>
      <c r="Y11" s="112">
        <v>1080</v>
      </c>
      <c r="Z11" s="111"/>
      <c r="AB11" s="112">
        <v>1080</v>
      </c>
      <c r="AC11" s="112">
        <v>1513.44</v>
      </c>
      <c r="AD11" s="111"/>
      <c r="AF11" s="113">
        <v>1500</v>
      </c>
      <c r="AG11" s="112">
        <v>1500</v>
      </c>
      <c r="AH11" s="89">
        <f>(AF11-AB11)/AB11</f>
        <v>0.3888888888888889</v>
      </c>
      <c r="AI11" s="396"/>
      <c r="AJ11" s="113">
        <v>1500</v>
      </c>
      <c r="AK11" s="112">
        <v>375</v>
      </c>
      <c r="AL11" s="89">
        <f>(AJ11-AF11)/AF11</f>
        <v>0</v>
      </c>
      <c r="AM11" s="396"/>
      <c r="AN11" s="113">
        <v>1500</v>
      </c>
      <c r="AO11" s="218">
        <f>AN11-AJ11</f>
        <v>0</v>
      </c>
      <c r="AP11" s="89">
        <f>(AN11-AJ11)/AJ11</f>
        <v>0</v>
      </c>
      <c r="AQ11" s="400"/>
    </row>
    <row r="12" spans="1:43" x14ac:dyDescent="0.25">
      <c r="A12" s="395" t="s">
        <v>1507</v>
      </c>
      <c r="B12" s="395" t="str">
        <f>MID(A12,14,4)</f>
        <v>5663</v>
      </c>
      <c r="C12" s="394" t="s">
        <v>1914</v>
      </c>
      <c r="D12" s="112">
        <v>0</v>
      </c>
      <c r="E12" s="112">
        <v>114467</v>
      </c>
      <c r="F12" s="111"/>
      <c r="H12" s="112">
        <v>0</v>
      </c>
      <c r="I12" s="112">
        <v>117183</v>
      </c>
      <c r="J12" s="111"/>
      <c r="L12" s="112">
        <v>0</v>
      </c>
      <c r="M12" s="112">
        <v>117425</v>
      </c>
      <c r="N12" s="111"/>
      <c r="P12" s="112">
        <v>0</v>
      </c>
      <c r="Q12" s="112">
        <v>40121</v>
      </c>
      <c r="R12" s="111"/>
      <c r="T12" s="112">
        <v>0</v>
      </c>
      <c r="U12" s="112">
        <v>123370</v>
      </c>
      <c r="V12" s="111"/>
      <c r="X12" s="112">
        <v>0</v>
      </c>
      <c r="Y12" s="112">
        <v>126454</v>
      </c>
      <c r="Z12" s="111"/>
      <c r="AB12" s="112">
        <v>129615</v>
      </c>
      <c r="AC12" s="112">
        <v>129615</v>
      </c>
      <c r="AD12" s="111"/>
      <c r="AF12" s="113">
        <v>134855</v>
      </c>
      <c r="AG12" s="112">
        <v>134843</v>
      </c>
      <c r="AH12" s="89">
        <f>(AF12-AB12)/AB12</f>
        <v>4.0427419665933724E-2</v>
      </c>
      <c r="AI12" s="396"/>
      <c r="AJ12" s="113">
        <v>138226</v>
      </c>
      <c r="AK12" s="112">
        <v>34557</v>
      </c>
      <c r="AL12" s="89">
        <f>(AJ12-AF12)/AF12</f>
        <v>2.499721923547514E-2</v>
      </c>
      <c r="AM12" s="396"/>
      <c r="AN12" s="113">
        <v>141682</v>
      </c>
      <c r="AO12" s="218">
        <f>AN12-AJ12</f>
        <v>3456</v>
      </c>
      <c r="AP12" s="89">
        <f>(AN12-AJ12)/AJ12</f>
        <v>2.5002532085135937E-2</v>
      </c>
      <c r="AQ12" s="400"/>
    </row>
    <row r="13" spans="1:43" s="114" customFormat="1" x14ac:dyDescent="0.25">
      <c r="A13" s="219"/>
      <c r="B13" s="219"/>
      <c r="C13" s="219" t="s">
        <v>279</v>
      </c>
      <c r="D13" s="401">
        <f>SUM(D12:D12)</f>
        <v>0</v>
      </c>
      <c r="E13" s="401">
        <f>SUM(E12:E12)</f>
        <v>114467</v>
      </c>
      <c r="F13" s="221">
        <v>2.41E-2</v>
      </c>
      <c r="G13" s="219"/>
      <c r="H13" s="401">
        <f>SUM(H12:H12)</f>
        <v>0</v>
      </c>
      <c r="I13" s="401">
        <f>SUM(I12:I12)</f>
        <v>117183</v>
      </c>
      <c r="J13" s="422">
        <f>(I13-E13)/E13</f>
        <v>2.3727362471279934E-2</v>
      </c>
      <c r="K13" s="219"/>
      <c r="L13" s="401">
        <f>SUM(L12:L12)</f>
        <v>0</v>
      </c>
      <c r="M13" s="401">
        <f>SUM(M12:M12)</f>
        <v>117425</v>
      </c>
      <c r="N13" s="422">
        <f>(M13-I13)/I13</f>
        <v>2.0651459682718481E-3</v>
      </c>
      <c r="O13" s="219"/>
      <c r="P13" s="401">
        <f>SUM(P12:P12)</f>
        <v>0</v>
      </c>
      <c r="Q13" s="401">
        <f>SUM(Q12:Q12)</f>
        <v>40121</v>
      </c>
      <c r="R13" s="422">
        <f>(Q13-M13)/M13</f>
        <v>-0.65832659144134553</v>
      </c>
      <c r="S13" s="219"/>
      <c r="T13" s="401">
        <f>SUM(T12:T12)</f>
        <v>0</v>
      </c>
      <c r="U13" s="401">
        <f>SUM(U12:U12)</f>
        <v>123370</v>
      </c>
      <c r="V13" s="422">
        <f>(U13-Q13)/Q13</f>
        <v>2.0749482814486178</v>
      </c>
      <c r="W13" s="219"/>
      <c r="X13" s="401">
        <f>SUM(X10:X12)</f>
        <v>0</v>
      </c>
      <c r="Y13" s="401">
        <f>SUM(Y10:Y12)</f>
        <v>131219</v>
      </c>
      <c r="Z13" s="422">
        <f>(Y13-U13)/U13</f>
        <v>6.3621626003080162E-2</v>
      </c>
      <c r="AA13" s="219"/>
      <c r="AB13" s="401">
        <f>SUM(AB10:AB12)</f>
        <v>134469</v>
      </c>
      <c r="AC13" s="401">
        <f>SUM(AC10:AC12)</f>
        <v>134902.44</v>
      </c>
      <c r="AD13" s="422">
        <f>(AC13-Y13)/Y13</f>
        <v>2.8070934849373966E-2</v>
      </c>
      <c r="AE13" s="219"/>
      <c r="AF13" s="401">
        <f>SUM(AF10:AF12)</f>
        <v>139874</v>
      </c>
      <c r="AG13" s="401">
        <f>SUM(AG10:AG12)</f>
        <v>139871</v>
      </c>
      <c r="AH13" s="422">
        <f>(AF13-AB13)/AB13</f>
        <v>4.0195137912827493E-2</v>
      </c>
      <c r="AI13" s="221"/>
      <c r="AJ13" s="401">
        <f>SUM(AJ10:AJ12)</f>
        <v>143332</v>
      </c>
      <c r="AK13" s="401">
        <f>SUM(AK10:AK12)</f>
        <v>35835</v>
      </c>
      <c r="AL13" s="422">
        <f>(AJ13-AF13)/AF13</f>
        <v>2.472225002502252E-2</v>
      </c>
      <c r="AM13" s="221"/>
      <c r="AN13" s="223">
        <f>SUM(AN10:AN12)</f>
        <v>146788</v>
      </c>
      <c r="AO13" s="401">
        <f>SUM(AO10:AO12)</f>
        <v>3456</v>
      </c>
      <c r="AP13" s="422">
        <f>(AN13-AJ13)/AJ13</f>
        <v>2.4111852203276309E-2</v>
      </c>
      <c r="AQ13" s="219"/>
    </row>
    <row r="14" spans="1:43" x14ac:dyDescent="0.25">
      <c r="D14" s="112"/>
      <c r="E14" s="112"/>
      <c r="F14" s="396"/>
      <c r="H14" s="112"/>
      <c r="I14" s="112"/>
      <c r="J14" s="396"/>
      <c r="L14" s="112"/>
      <c r="M14" s="112"/>
      <c r="N14" s="396"/>
      <c r="P14" s="112"/>
      <c r="Q14" s="112"/>
      <c r="R14" s="396"/>
      <c r="T14" s="112"/>
      <c r="U14" s="112"/>
      <c r="V14" s="396"/>
      <c r="X14" s="112"/>
      <c r="Y14" s="112"/>
      <c r="Z14" s="396"/>
      <c r="AB14" s="112"/>
      <c r="AC14" s="112"/>
      <c r="AD14" s="396"/>
      <c r="AF14" s="112"/>
      <c r="AG14" s="112"/>
      <c r="AH14" s="396"/>
      <c r="AI14" s="396"/>
      <c r="AJ14" s="112"/>
      <c r="AK14" s="112"/>
      <c r="AL14" s="396"/>
      <c r="AM14" s="396"/>
      <c r="AP14" s="396"/>
    </row>
    <row r="15" spans="1:43" s="114" customFormat="1" ht="12.75" x14ac:dyDescent="0.2">
      <c r="A15" s="228"/>
      <c r="B15" s="228"/>
      <c r="C15" s="233" t="s">
        <v>280</v>
      </c>
      <c r="D15" s="402">
        <f>D7+D13</f>
        <v>0</v>
      </c>
      <c r="E15" s="402">
        <f>E7+E13</f>
        <v>114467</v>
      </c>
      <c r="F15" s="231">
        <v>2.41E-2</v>
      </c>
      <c r="G15" s="228"/>
      <c r="H15" s="402">
        <f>H7+H13</f>
        <v>0</v>
      </c>
      <c r="I15" s="402">
        <f>I7+I13</f>
        <v>117183</v>
      </c>
      <c r="J15" s="231">
        <f>(I15-E15)/E15</f>
        <v>2.3727362471279934E-2</v>
      </c>
      <c r="K15" s="228"/>
      <c r="L15" s="402">
        <f>L7+L13</f>
        <v>0</v>
      </c>
      <c r="M15" s="402">
        <f>M7+M13</f>
        <v>117425</v>
      </c>
      <c r="N15" s="231">
        <f>(M15-I15)/I15</f>
        <v>2.0651459682718481E-3</v>
      </c>
      <c r="O15" s="228"/>
      <c r="P15" s="402">
        <f>P7+P13</f>
        <v>0</v>
      </c>
      <c r="Q15" s="402">
        <f>Q7+Q13</f>
        <v>40121</v>
      </c>
      <c r="R15" s="231">
        <f>(Q15-M15)/M15</f>
        <v>-0.65832659144134553</v>
      </c>
      <c r="S15" s="228"/>
      <c r="T15" s="402">
        <f>T7+T13</f>
        <v>0</v>
      </c>
      <c r="U15" s="402">
        <f>U7+U13</f>
        <v>123370</v>
      </c>
      <c r="V15" s="231">
        <f>(U15-Q15)/Q15</f>
        <v>2.0749482814486178</v>
      </c>
      <c r="W15" s="228"/>
      <c r="X15" s="402">
        <f>X7+X13</f>
        <v>0</v>
      </c>
      <c r="Y15" s="402">
        <f>Y7+Y13</f>
        <v>131219</v>
      </c>
      <c r="Z15" s="231">
        <f>(Y15-U15)/U15</f>
        <v>6.3621626003080162E-2</v>
      </c>
      <c r="AA15" s="228"/>
      <c r="AB15" s="402">
        <f>AB7+AB13</f>
        <v>134469</v>
      </c>
      <c r="AC15" s="402">
        <f>AC7+AC13</f>
        <v>134902.44</v>
      </c>
      <c r="AD15" s="231">
        <f>(AC15-Y15)/Y15</f>
        <v>2.8070934849373966E-2</v>
      </c>
      <c r="AE15" s="228"/>
      <c r="AF15" s="402">
        <f>AF7+AF13</f>
        <v>139874</v>
      </c>
      <c r="AG15" s="402">
        <f>AG7+AG13</f>
        <v>139871</v>
      </c>
      <c r="AH15" s="231">
        <f>(AF15-AB15)/AB15</f>
        <v>4.0195137912827493E-2</v>
      </c>
      <c r="AI15" s="231"/>
      <c r="AJ15" s="402">
        <f>AJ7+AJ13</f>
        <v>143332</v>
      </c>
      <c r="AK15" s="402">
        <f>AK7+AK13</f>
        <v>35835</v>
      </c>
      <c r="AL15" s="231">
        <f>(AJ15-AF15)/AF15</f>
        <v>2.472225002502252E-2</v>
      </c>
      <c r="AM15" s="231"/>
      <c r="AN15" s="232">
        <f>AN7+AN13</f>
        <v>146788</v>
      </c>
      <c r="AO15" s="402">
        <f>AO7+AO13</f>
        <v>3456</v>
      </c>
      <c r="AP15" s="231">
        <f>(AN15-AJ15)/AJ15</f>
        <v>2.4111852203276309E-2</v>
      </c>
      <c r="AQ15" s="233"/>
    </row>
    <row r="16" spans="1:43" ht="12" customHeight="1" x14ac:dyDescent="0.25">
      <c r="D16" s="403"/>
      <c r="H16" s="403"/>
      <c r="L16" s="403"/>
      <c r="P16" s="403"/>
      <c r="T16" s="403"/>
      <c r="X16" s="403"/>
      <c r="AB16" s="403"/>
      <c r="AF16" s="403"/>
      <c r="AJ16" s="403"/>
    </row>
    <row r="17" spans="1:43" s="111" customFormat="1" thickBot="1" x14ac:dyDescent="0.25">
      <c r="C17" s="111" t="s">
        <v>281</v>
      </c>
      <c r="D17" s="122"/>
      <c r="E17" s="121">
        <f>D15-E15</f>
        <v>-114467</v>
      </c>
      <c r="G17" s="118"/>
      <c r="H17" s="122"/>
      <c r="I17" s="121">
        <f>H15-I15</f>
        <v>-117183</v>
      </c>
      <c r="K17" s="118"/>
      <c r="L17" s="122"/>
      <c r="M17" s="121">
        <f>L15-M15</f>
        <v>-117425</v>
      </c>
      <c r="O17" s="118"/>
      <c r="P17" s="122"/>
      <c r="Q17" s="121">
        <f>P15-Q15</f>
        <v>-40121</v>
      </c>
      <c r="S17" s="118"/>
      <c r="T17" s="122"/>
      <c r="U17" s="121">
        <f>T15-U15</f>
        <v>-123370</v>
      </c>
      <c r="W17" s="118"/>
      <c r="X17" s="122"/>
      <c r="Y17" s="121">
        <f>X15-Y15</f>
        <v>-131219</v>
      </c>
      <c r="AA17" s="118"/>
      <c r="AB17" s="122"/>
      <c r="AC17" s="121">
        <f>AB15-AC15</f>
        <v>-433.44000000000233</v>
      </c>
      <c r="AE17" s="118"/>
      <c r="AF17" s="122"/>
      <c r="AG17" s="121">
        <f>AF15-AG15</f>
        <v>3</v>
      </c>
      <c r="AJ17" s="122"/>
      <c r="AK17" s="121">
        <f>AJ15-AK15</f>
        <v>107497</v>
      </c>
      <c r="AN17" s="123"/>
      <c r="AO17" s="123"/>
    </row>
    <row r="18" spans="1:43" ht="14.25" thickTop="1" x14ac:dyDescent="0.25">
      <c r="D18" s="403"/>
      <c r="F18" s="111"/>
      <c r="H18" s="403"/>
      <c r="J18" s="111"/>
      <c r="L18" s="403"/>
      <c r="N18" s="111"/>
      <c r="P18" s="403"/>
      <c r="R18" s="111"/>
      <c r="T18" s="403"/>
      <c r="V18" s="111"/>
      <c r="X18" s="403"/>
      <c r="Z18" s="111"/>
      <c r="AB18" s="403"/>
      <c r="AD18" s="111"/>
      <c r="AF18" s="403"/>
      <c r="AJ18" s="403"/>
    </row>
    <row r="19" spans="1:43" x14ac:dyDescent="0.25">
      <c r="D19" s="403"/>
      <c r="F19" s="111"/>
      <c r="H19" s="403"/>
      <c r="J19" s="111"/>
      <c r="L19" s="403"/>
      <c r="N19" s="111"/>
      <c r="P19" s="403"/>
      <c r="R19" s="111"/>
      <c r="T19" s="403"/>
      <c r="V19" s="111"/>
      <c r="X19" s="403"/>
      <c r="Z19" s="111"/>
      <c r="AB19" s="403"/>
      <c r="AD19" s="111"/>
      <c r="AF19" s="403"/>
      <c r="AJ19" s="403"/>
    </row>
    <row r="20" spans="1:43" ht="18" x14ac:dyDescent="0.25">
      <c r="C20" s="308" t="s">
        <v>2000</v>
      </c>
      <c r="D20" s="403"/>
      <c r="F20" s="111"/>
      <c r="H20" s="403"/>
      <c r="J20" s="111"/>
      <c r="L20" s="403"/>
      <c r="N20" s="111"/>
      <c r="P20" s="403"/>
      <c r="R20" s="111"/>
      <c r="T20" s="403"/>
      <c r="V20" s="111"/>
      <c r="X20" s="403"/>
      <c r="Z20" s="111"/>
      <c r="AB20" s="403"/>
      <c r="AD20" s="111"/>
      <c r="AF20" s="403"/>
      <c r="AJ20" s="403"/>
    </row>
    <row r="21" spans="1:43" x14ac:dyDescent="0.25">
      <c r="C21" s="111" t="s">
        <v>277</v>
      </c>
      <c r="D21" s="112"/>
      <c r="E21" s="112"/>
      <c r="F21" s="111"/>
      <c r="H21" s="112"/>
      <c r="I21" s="112"/>
      <c r="J21" s="111"/>
      <c r="L21" s="112"/>
      <c r="M21" s="112"/>
      <c r="N21" s="111"/>
      <c r="P21" s="112"/>
      <c r="Q21" s="112"/>
      <c r="R21" s="111"/>
      <c r="T21" s="112"/>
      <c r="U21" s="112"/>
      <c r="V21" s="111"/>
      <c r="X21" s="112"/>
      <c r="Y21" s="112"/>
      <c r="Z21" s="111"/>
      <c r="AB21" s="112"/>
      <c r="AC21" s="112"/>
      <c r="AD21" s="111"/>
      <c r="AF21" s="218"/>
      <c r="AG21" s="112"/>
      <c r="AH21" s="111"/>
      <c r="AI21" s="111"/>
      <c r="AJ21" s="218"/>
      <c r="AK21" s="112"/>
      <c r="AL21" s="111"/>
      <c r="AM21" s="111"/>
      <c r="AN21" s="218"/>
      <c r="AO21" s="218"/>
      <c r="AP21" s="111"/>
      <c r="AQ21" s="111"/>
    </row>
    <row r="22" spans="1:43" x14ac:dyDescent="0.25">
      <c r="A22" s="395" t="s">
        <v>1503</v>
      </c>
      <c r="B22" s="395" t="str">
        <f>MID(A22,14,4)</f>
        <v>5621</v>
      </c>
      <c r="C22" s="394" t="s">
        <v>2102</v>
      </c>
      <c r="D22" s="112">
        <v>0</v>
      </c>
      <c r="E22" s="112">
        <v>124901.96</v>
      </c>
      <c r="F22" s="111"/>
      <c r="H22" s="112">
        <v>0</v>
      </c>
      <c r="I22" s="112">
        <v>134448.67000000001</v>
      </c>
      <c r="J22" s="111"/>
      <c r="L22" s="112">
        <v>0</v>
      </c>
      <c r="M22" s="112">
        <v>79027.89</v>
      </c>
      <c r="N22" s="111"/>
      <c r="P22" s="112">
        <v>0</v>
      </c>
      <c r="Q22" s="112">
        <v>57442.33</v>
      </c>
      <c r="R22" s="111"/>
      <c r="T22" s="112">
        <v>0</v>
      </c>
      <c r="U22" s="112">
        <v>57278.17</v>
      </c>
      <c r="V22" s="111"/>
      <c r="X22" s="112">
        <v>0</v>
      </c>
      <c r="Y22" s="112">
        <v>83890.68</v>
      </c>
      <c r="Z22" s="111"/>
      <c r="AB22" s="112">
        <v>85998</v>
      </c>
      <c r="AC22" s="112" t="s">
        <v>2103</v>
      </c>
      <c r="AD22" s="111"/>
      <c r="AF22" s="113">
        <v>83403</v>
      </c>
      <c r="AG22" s="112">
        <v>81431.98</v>
      </c>
      <c r="AH22" s="396"/>
      <c r="AI22" s="396"/>
      <c r="AJ22" s="113">
        <v>83403</v>
      </c>
      <c r="AK22" s="112">
        <v>40716</v>
      </c>
      <c r="AL22" s="396"/>
      <c r="AM22" s="396"/>
      <c r="AN22" s="113">
        <f>AJ22*1.025</f>
        <v>85488.074999999997</v>
      </c>
      <c r="AO22" s="218">
        <f>AN22-AJ22</f>
        <v>2085.0749999999971</v>
      </c>
      <c r="AP22" s="89">
        <f>(AN22-AJ22)/AJ22</f>
        <v>2.4999999999999967E-2</v>
      </c>
      <c r="AQ22" s="524" t="s">
        <v>2066</v>
      </c>
    </row>
    <row r="23" spans="1:43" s="114" customFormat="1" x14ac:dyDescent="0.25">
      <c r="A23" s="219"/>
      <c r="B23" s="219"/>
      <c r="C23" s="219" t="s">
        <v>279</v>
      </c>
      <c r="D23" s="401">
        <f>SUM(D22:D22)</f>
        <v>0</v>
      </c>
      <c r="E23" s="401">
        <f>SUM(E22:E22)</f>
        <v>124901.96</v>
      </c>
      <c r="F23" s="221"/>
      <c r="G23" s="219"/>
      <c r="H23" s="401">
        <f>SUM(H22:H22)</f>
        <v>0</v>
      </c>
      <c r="I23" s="401">
        <f>SUM(I22:I22)</f>
        <v>134448.67000000001</v>
      </c>
      <c r="J23" s="422">
        <f>(I23-E23)/E23</f>
        <v>7.643362842344513E-2</v>
      </c>
      <c r="K23" s="219"/>
      <c r="L23" s="401">
        <f>SUM(L22:L22)</f>
        <v>0</v>
      </c>
      <c r="M23" s="401">
        <f>SUM(M22:M22)</f>
        <v>79027.89</v>
      </c>
      <c r="N23" s="422">
        <f>(M23-I23)/I23</f>
        <v>-0.41220772209944517</v>
      </c>
      <c r="O23" s="219"/>
      <c r="P23" s="401">
        <f>SUM(P22:P22)</f>
        <v>0</v>
      </c>
      <c r="Q23" s="401">
        <f>SUM(Q22:Q22)</f>
        <v>57442.33</v>
      </c>
      <c r="R23" s="422">
        <f>(Q23-M23)/M23</f>
        <v>-0.27313850844303195</v>
      </c>
      <c r="S23" s="219"/>
      <c r="T23" s="401">
        <f>SUM(T22:T22)</f>
        <v>0</v>
      </c>
      <c r="U23" s="401">
        <f>SUM(U22:U22)</f>
        <v>57278.17</v>
      </c>
      <c r="V23" s="422">
        <f>(U23-Q23)/Q23</f>
        <v>-2.8578227937481556E-3</v>
      </c>
      <c r="W23" s="219"/>
      <c r="X23" s="401">
        <f>SUM(X22:X22)</f>
        <v>0</v>
      </c>
      <c r="Y23" s="401">
        <f>SUM(Y22:Y22)</f>
        <v>83890.68</v>
      </c>
      <c r="Z23" s="422">
        <f>(Y23-U23)/U23</f>
        <v>0.46461871948772099</v>
      </c>
      <c r="AA23" s="219"/>
      <c r="AB23" s="401">
        <f>SUM(AB22:AB22)</f>
        <v>85998</v>
      </c>
      <c r="AC23" s="401">
        <f>SUM(AC22:AC22)</f>
        <v>0</v>
      </c>
      <c r="AD23" s="422"/>
      <c r="AE23" s="219"/>
      <c r="AF23" s="401">
        <f>SUM(AF22:AF22)</f>
        <v>83403</v>
      </c>
      <c r="AG23" s="401">
        <f>SUM(AG22:AG22)</f>
        <v>81431.98</v>
      </c>
      <c r="AH23" s="422">
        <f>(AF23-AB23)/AB23</f>
        <v>-3.0175120351636085E-2</v>
      </c>
      <c r="AI23" s="221"/>
      <c r="AJ23" s="401">
        <f>SUM(AJ22:AJ22)</f>
        <v>83403</v>
      </c>
      <c r="AK23" s="401">
        <f>SUM(AK22:AK22)</f>
        <v>40716</v>
      </c>
      <c r="AL23" s="422">
        <f>(AJ23-AF23)/AF23</f>
        <v>0</v>
      </c>
      <c r="AM23" s="221"/>
      <c r="AN23" s="223">
        <f>SUM(AN22)</f>
        <v>85488.074999999997</v>
      </c>
      <c r="AO23" s="401">
        <f>SUM(AO22)</f>
        <v>2085.0749999999971</v>
      </c>
      <c r="AP23" s="422">
        <f>(AN23-AJ23)/AJ23</f>
        <v>2.4999999999999967E-2</v>
      </c>
      <c r="AQ23" s="219"/>
    </row>
    <row r="24" spans="1:43" x14ac:dyDescent="0.25">
      <c r="D24" s="112"/>
      <c r="E24" s="112"/>
      <c r="F24" s="396"/>
      <c r="H24" s="112"/>
      <c r="I24" s="112"/>
      <c r="J24" s="396"/>
      <c r="L24" s="112"/>
      <c r="M24" s="112"/>
      <c r="N24" s="396"/>
      <c r="P24" s="112"/>
      <c r="Q24" s="112"/>
      <c r="R24" s="396"/>
      <c r="T24" s="112"/>
      <c r="U24" s="112"/>
      <c r="V24" s="396"/>
      <c r="X24" s="112"/>
      <c r="Y24" s="112"/>
      <c r="Z24" s="396"/>
      <c r="AB24" s="112"/>
      <c r="AC24" s="112"/>
      <c r="AD24" s="396"/>
      <c r="AF24" s="112"/>
      <c r="AG24" s="112"/>
      <c r="AH24" s="396"/>
      <c r="AI24" s="396"/>
      <c r="AJ24" s="112"/>
      <c r="AK24" s="112"/>
      <c r="AL24" s="396"/>
      <c r="AM24" s="396"/>
      <c r="AP24" s="396"/>
    </row>
    <row r="25" spans="1:43" s="114" customFormat="1" ht="12.75" x14ac:dyDescent="0.2">
      <c r="A25" s="228"/>
      <c r="B25" s="228"/>
      <c r="C25" s="233" t="s">
        <v>280</v>
      </c>
      <c r="D25" s="402">
        <f>D19+D23</f>
        <v>0</v>
      </c>
      <c r="E25" s="402">
        <f>E19+E23</f>
        <v>124901.96</v>
      </c>
      <c r="F25" s="231">
        <v>2.41E-2</v>
      </c>
      <c r="G25" s="228"/>
      <c r="H25" s="402">
        <f>H19+H23</f>
        <v>0</v>
      </c>
      <c r="I25" s="402">
        <f>I19+I23</f>
        <v>134448.67000000001</v>
      </c>
      <c r="J25" s="231">
        <f>(I25-E25)/E25</f>
        <v>7.643362842344513E-2</v>
      </c>
      <c r="K25" s="228"/>
      <c r="L25" s="402">
        <f>L19+L23</f>
        <v>0</v>
      </c>
      <c r="M25" s="402">
        <f>M19+M23</f>
        <v>79027.89</v>
      </c>
      <c r="N25" s="231">
        <f>(M25-I25)/I25</f>
        <v>-0.41220772209944517</v>
      </c>
      <c r="O25" s="228"/>
      <c r="P25" s="402">
        <f>P19+P23</f>
        <v>0</v>
      </c>
      <c r="Q25" s="402">
        <f>Q19+Q23</f>
        <v>57442.33</v>
      </c>
      <c r="R25" s="231">
        <f>(Q25-M25)/M25</f>
        <v>-0.27313850844303195</v>
      </c>
      <c r="S25" s="228"/>
      <c r="T25" s="402">
        <f>T19+T23</f>
        <v>0</v>
      </c>
      <c r="U25" s="402">
        <f>U19+U23</f>
        <v>57278.17</v>
      </c>
      <c r="V25" s="231">
        <f>(U25-Q25)/Q25</f>
        <v>-2.8578227937481556E-3</v>
      </c>
      <c r="W25" s="228"/>
      <c r="X25" s="402">
        <f>X19+X23</f>
        <v>0</v>
      </c>
      <c r="Y25" s="402">
        <f>Y19+Y23</f>
        <v>83890.68</v>
      </c>
      <c r="Z25" s="231">
        <f>(Y25-U25)/U25</f>
        <v>0.46461871948772099</v>
      </c>
      <c r="AA25" s="228"/>
      <c r="AB25" s="402">
        <f>AB23</f>
        <v>85998</v>
      </c>
      <c r="AC25" s="402">
        <f>AC19+AC23</f>
        <v>0</v>
      </c>
      <c r="AD25" s="231"/>
      <c r="AE25" s="228"/>
      <c r="AF25" s="402">
        <f>AF23</f>
        <v>83403</v>
      </c>
      <c r="AG25" s="402">
        <f>AG19+AG23</f>
        <v>81431.98</v>
      </c>
      <c r="AH25" s="231">
        <f>(AF25-AB25)/AB25</f>
        <v>-3.0175120351636085E-2</v>
      </c>
      <c r="AI25" s="231"/>
      <c r="AJ25" s="402">
        <f>AJ23</f>
        <v>83403</v>
      </c>
      <c r="AK25" s="402">
        <f>AK19+AK23</f>
        <v>40716</v>
      </c>
      <c r="AL25" s="231">
        <f>(AJ25-AF25)/AF25</f>
        <v>0</v>
      </c>
      <c r="AM25" s="231"/>
      <c r="AN25" s="402">
        <f>AN23</f>
        <v>85488.074999999997</v>
      </c>
      <c r="AO25" s="402">
        <f>AO19+AO23</f>
        <v>2085.0749999999971</v>
      </c>
      <c r="AP25" s="231">
        <f>(AN25-AJ25)/AJ25</f>
        <v>2.4999999999999967E-2</v>
      </c>
      <c r="AQ25" s="233"/>
    </row>
    <row r="26" spans="1:43" ht="12" customHeight="1" x14ac:dyDescent="0.25">
      <c r="D26" s="403"/>
      <c r="H26" s="403"/>
      <c r="L26" s="403"/>
      <c r="P26" s="403"/>
      <c r="T26" s="403"/>
      <c r="X26" s="403"/>
      <c r="AB26" s="403"/>
      <c r="AF26" s="403"/>
      <c r="AJ26" s="403"/>
    </row>
    <row r="27" spans="1:43" s="111" customFormat="1" thickBot="1" x14ac:dyDescent="0.25">
      <c r="C27" s="111" t="s">
        <v>281</v>
      </c>
      <c r="D27" s="122"/>
      <c r="E27" s="121">
        <f>D25-E25</f>
        <v>-124901.96</v>
      </c>
      <c r="G27" s="118"/>
      <c r="H27" s="122"/>
      <c r="I27" s="121">
        <f>H25-I25</f>
        <v>-134448.67000000001</v>
      </c>
      <c r="K27" s="118"/>
      <c r="L27" s="122"/>
      <c r="M27" s="121">
        <f>L25-M25</f>
        <v>-79027.89</v>
      </c>
      <c r="O27" s="118"/>
      <c r="P27" s="122"/>
      <c r="Q27" s="121">
        <f>P25-Q25</f>
        <v>-57442.33</v>
      </c>
      <c r="S27" s="118"/>
      <c r="T27" s="122"/>
      <c r="U27" s="121">
        <f>T25-U25</f>
        <v>-57278.17</v>
      </c>
      <c r="W27" s="118"/>
      <c r="X27" s="122"/>
      <c r="Y27" s="121">
        <f>X25-Y25</f>
        <v>-83890.68</v>
      </c>
      <c r="AA27" s="118"/>
      <c r="AB27" s="122"/>
      <c r="AC27" s="121">
        <f>AB25-AC25</f>
        <v>85998</v>
      </c>
      <c r="AE27" s="118"/>
      <c r="AF27" s="122"/>
      <c r="AG27" s="121">
        <f>AF25-AG25</f>
        <v>1971.0200000000041</v>
      </c>
      <c r="AJ27" s="122"/>
      <c r="AK27" s="121">
        <f>AJ25-AK25</f>
        <v>42687</v>
      </c>
      <c r="AN27" s="123"/>
      <c r="AO27" s="123"/>
    </row>
    <row r="28" spans="1:43" ht="14.25" thickTop="1" x14ac:dyDescent="0.25">
      <c r="D28" s="403"/>
      <c r="F28" s="111"/>
      <c r="H28" s="403"/>
      <c r="J28" s="111"/>
      <c r="L28" s="403"/>
      <c r="N28" s="111"/>
      <c r="P28" s="403"/>
      <c r="R28" s="111"/>
      <c r="T28" s="403"/>
      <c r="V28" s="111"/>
      <c r="X28" s="403"/>
      <c r="AB28" s="403"/>
      <c r="AF28" s="403"/>
      <c r="AJ28" s="403"/>
    </row>
    <row r="29" spans="1:43" x14ac:dyDescent="0.25">
      <c r="D29" s="403"/>
      <c r="F29" s="111"/>
      <c r="H29" s="403"/>
      <c r="J29" s="111"/>
      <c r="L29" s="403"/>
      <c r="N29" s="111"/>
      <c r="P29" s="403"/>
      <c r="R29" s="111"/>
      <c r="T29" s="403"/>
      <c r="V29" s="111"/>
      <c r="X29" s="403"/>
      <c r="AB29" s="423" t="s">
        <v>2104</v>
      </c>
      <c r="AF29" s="403"/>
      <c r="AJ29" s="403"/>
    </row>
    <row r="30" spans="1:43" x14ac:dyDescent="0.25">
      <c r="D30" s="403"/>
      <c r="F30" s="111"/>
      <c r="H30" s="403"/>
      <c r="J30" s="111"/>
      <c r="L30" s="403"/>
      <c r="N30" s="111"/>
      <c r="P30" s="403"/>
      <c r="R30" s="111"/>
      <c r="T30" s="403"/>
      <c r="V30" s="111"/>
      <c r="X30" s="403"/>
      <c r="AB30" s="423"/>
      <c r="AF30" s="403"/>
      <c r="AJ30" s="403"/>
    </row>
    <row r="31" spans="1:43" s="114" customFormat="1" ht="12.75" x14ac:dyDescent="0.2">
      <c r="A31" s="228" t="s">
        <v>1997</v>
      </c>
      <c r="B31" s="228"/>
      <c r="C31" s="233" t="s">
        <v>1508</v>
      </c>
      <c r="D31" s="402">
        <f>D24+D28</f>
        <v>0</v>
      </c>
      <c r="E31" s="402">
        <f>E24+E28</f>
        <v>0</v>
      </c>
      <c r="F31" s="231">
        <v>2.41E-2</v>
      </c>
      <c r="G31" s="228"/>
      <c r="H31" s="402">
        <f>H24+H28</f>
        <v>0</v>
      </c>
      <c r="I31" s="402">
        <f>I24+I28</f>
        <v>0</v>
      </c>
      <c r="J31" s="231" t="e">
        <f>(I31-E31)/E31</f>
        <v>#DIV/0!</v>
      </c>
      <c r="K31" s="228"/>
      <c r="L31" s="402">
        <f>L24+L28</f>
        <v>0</v>
      </c>
      <c r="M31" s="402">
        <f>M24+M28</f>
        <v>0</v>
      </c>
      <c r="N31" s="231" t="e">
        <f>(M31-I31)/I31</f>
        <v>#DIV/0!</v>
      </c>
      <c r="O31" s="228"/>
      <c r="P31" s="402">
        <f>P24+P28</f>
        <v>0</v>
      </c>
      <c r="Q31" s="402">
        <f>Q24+Q28</f>
        <v>0</v>
      </c>
      <c r="R31" s="231" t="e">
        <f>(Q31-M31)/M31</f>
        <v>#DIV/0!</v>
      </c>
      <c r="S31" s="228"/>
      <c r="T31" s="402">
        <f>T24+T28</f>
        <v>0</v>
      </c>
      <c r="U31" s="402">
        <f>U24+U28</f>
        <v>0</v>
      </c>
      <c r="V31" s="231" t="e">
        <f>(U31-Q31)/Q31</f>
        <v>#DIV/0!</v>
      </c>
      <c r="W31" s="228"/>
      <c r="X31" s="402">
        <f>X15+X25</f>
        <v>0</v>
      </c>
      <c r="Y31" s="402">
        <f>Y15+Y25</f>
        <v>215109.68</v>
      </c>
      <c r="Z31" s="231" t="e">
        <f>(Y31-U31)/U31</f>
        <v>#DIV/0!</v>
      </c>
      <c r="AA31" s="228"/>
      <c r="AB31" s="402">
        <f>AB15+AB25</f>
        <v>220467</v>
      </c>
      <c r="AC31" s="402">
        <f>AC15+AC25</f>
        <v>134902.44</v>
      </c>
      <c r="AD31" s="231">
        <f>(AC31-Y31)/Y31</f>
        <v>-0.37286671617939271</v>
      </c>
      <c r="AE31" s="228"/>
      <c r="AF31" s="402">
        <f>AF15+AF25</f>
        <v>223277</v>
      </c>
      <c r="AG31" s="402">
        <f>AG15+AG25</f>
        <v>221302.97999999998</v>
      </c>
      <c r="AH31" s="231">
        <f>(AF31-AB31)/AB31</f>
        <v>1.2745671687826296E-2</v>
      </c>
      <c r="AI31" s="231"/>
      <c r="AJ31" s="402">
        <f>AJ15+AJ25</f>
        <v>226735</v>
      </c>
      <c r="AK31" s="402">
        <f>AK15+AK25</f>
        <v>76551</v>
      </c>
      <c r="AL31" s="231">
        <f>(AJ31-AF31)/AF31</f>
        <v>1.5487488635193057E-2</v>
      </c>
      <c r="AM31" s="231"/>
      <c r="AN31" s="402">
        <f>AN15+AN25</f>
        <v>232276.07500000001</v>
      </c>
      <c r="AO31" s="402">
        <f>AO15+AO25</f>
        <v>5541.0749999999971</v>
      </c>
      <c r="AP31" s="231">
        <f>(AN31-AJ31)/AJ31</f>
        <v>2.4438551613116685E-2</v>
      </c>
      <c r="AQ31" s="233"/>
    </row>
    <row r="32" spans="1:43" x14ac:dyDescent="0.25">
      <c r="D32" s="403"/>
      <c r="F32" s="111"/>
      <c r="H32" s="403"/>
      <c r="J32" s="111"/>
      <c r="L32" s="403"/>
      <c r="N32" s="111"/>
      <c r="P32" s="403"/>
      <c r="R32" s="111"/>
      <c r="T32" s="403"/>
      <c r="V32" s="111"/>
      <c r="X32" s="403"/>
      <c r="AB32" s="403"/>
      <c r="AF32" s="403"/>
      <c r="AJ32" s="403"/>
    </row>
    <row r="33" spans="4:36" x14ac:dyDescent="0.25">
      <c r="D33" s="403"/>
      <c r="F33" s="111"/>
      <c r="H33" s="403"/>
      <c r="J33" s="111"/>
      <c r="L33" s="403"/>
      <c r="N33" s="111"/>
      <c r="P33" s="403"/>
      <c r="R33" s="111"/>
      <c r="T33" s="403"/>
      <c r="V33" s="111"/>
      <c r="X33" s="403"/>
      <c r="AB33" s="403"/>
      <c r="AF33" s="403"/>
      <c r="AJ33" s="403"/>
    </row>
    <row r="34" spans="4:36" x14ac:dyDescent="0.25">
      <c r="D34" s="403"/>
      <c r="F34" s="111"/>
      <c r="H34" s="403"/>
      <c r="J34" s="111"/>
      <c r="L34" s="403"/>
      <c r="N34" s="111"/>
      <c r="P34" s="403"/>
      <c r="R34" s="111"/>
      <c r="T34" s="403"/>
      <c r="V34" s="111"/>
      <c r="X34" s="403"/>
      <c r="AB34" s="403"/>
      <c r="AF34" s="403"/>
      <c r="AJ34" s="403"/>
    </row>
    <row r="35" spans="4:36" x14ac:dyDescent="0.25">
      <c r="D35" s="403"/>
      <c r="F35" s="111"/>
      <c r="H35" s="403"/>
      <c r="J35" s="111"/>
      <c r="L35" s="403"/>
      <c r="N35" s="111"/>
      <c r="P35" s="403"/>
      <c r="R35" s="111"/>
      <c r="T35" s="403"/>
      <c r="V35" s="111"/>
      <c r="X35" s="403"/>
      <c r="AB35" s="403"/>
      <c r="AF35" s="403"/>
      <c r="AJ35" s="403"/>
    </row>
    <row r="36" spans="4:36" x14ac:dyDescent="0.25">
      <c r="D36" s="403"/>
      <c r="F36" s="111"/>
      <c r="H36" s="403"/>
      <c r="J36" s="111"/>
      <c r="L36" s="403"/>
      <c r="N36" s="111"/>
      <c r="P36" s="403"/>
      <c r="R36" s="111"/>
      <c r="T36" s="403"/>
      <c r="V36" s="111"/>
      <c r="X36" s="403"/>
      <c r="AB36" s="403"/>
      <c r="AF36" s="403"/>
      <c r="AJ36" s="403"/>
    </row>
    <row r="37" spans="4:36" x14ac:dyDescent="0.25">
      <c r="D37" s="403"/>
      <c r="F37" s="111"/>
      <c r="H37" s="403"/>
      <c r="J37" s="111"/>
      <c r="L37" s="403"/>
      <c r="N37" s="111"/>
      <c r="P37" s="403"/>
      <c r="R37" s="111"/>
      <c r="T37" s="403"/>
      <c r="V37" s="111"/>
      <c r="X37" s="403"/>
      <c r="AB37" s="403"/>
      <c r="AF37" s="403"/>
      <c r="AJ37" s="403"/>
    </row>
    <row r="38" spans="4:36" x14ac:dyDescent="0.25">
      <c r="D38" s="403"/>
      <c r="F38" s="111"/>
      <c r="H38" s="403"/>
      <c r="J38" s="111"/>
      <c r="L38" s="403"/>
      <c r="N38" s="111"/>
      <c r="P38" s="403"/>
      <c r="R38" s="111"/>
      <c r="T38" s="403"/>
      <c r="V38" s="111"/>
      <c r="X38" s="403"/>
      <c r="AB38" s="403"/>
      <c r="AF38" s="403"/>
      <c r="AJ38" s="403"/>
    </row>
    <row r="39" spans="4:36" x14ac:dyDescent="0.25">
      <c r="D39" s="403"/>
      <c r="F39" s="111"/>
      <c r="H39" s="403"/>
      <c r="J39" s="111"/>
      <c r="L39" s="403"/>
      <c r="N39" s="111"/>
      <c r="P39" s="403"/>
      <c r="R39" s="111"/>
      <c r="T39" s="403"/>
      <c r="V39" s="111"/>
      <c r="X39" s="403"/>
      <c r="AB39" s="403"/>
      <c r="AF39" s="403"/>
      <c r="AJ39" s="403"/>
    </row>
    <row r="40" spans="4:36" x14ac:dyDescent="0.25">
      <c r="D40" s="403"/>
      <c r="F40" s="111"/>
      <c r="H40" s="403"/>
      <c r="J40" s="111"/>
      <c r="L40" s="403"/>
      <c r="N40" s="111"/>
      <c r="P40" s="403"/>
      <c r="R40" s="111"/>
      <c r="T40" s="403"/>
      <c r="V40" s="111"/>
      <c r="X40" s="403"/>
      <c r="AB40" s="403"/>
      <c r="AF40" s="403"/>
      <c r="AJ40" s="403"/>
    </row>
    <row r="41" spans="4:36" x14ac:dyDescent="0.25">
      <c r="D41" s="403"/>
      <c r="F41" s="111"/>
      <c r="H41" s="403"/>
      <c r="J41" s="111"/>
      <c r="L41" s="403"/>
      <c r="N41" s="111"/>
      <c r="P41" s="403"/>
      <c r="R41" s="111"/>
      <c r="T41" s="403"/>
      <c r="V41" s="111"/>
      <c r="X41" s="403"/>
      <c r="AB41" s="403"/>
      <c r="AF41" s="403"/>
      <c r="AJ41" s="403"/>
    </row>
    <row r="42" spans="4:36" x14ac:dyDescent="0.25">
      <c r="D42" s="403"/>
      <c r="F42" s="111"/>
      <c r="H42" s="403"/>
      <c r="J42" s="111"/>
      <c r="L42" s="403"/>
      <c r="N42" s="111"/>
      <c r="P42" s="403"/>
      <c r="R42" s="111"/>
      <c r="T42" s="403"/>
      <c r="V42" s="111"/>
      <c r="X42" s="403"/>
      <c r="AB42" s="403"/>
      <c r="AF42" s="403"/>
      <c r="AJ42" s="403"/>
    </row>
    <row r="43" spans="4:36" x14ac:dyDescent="0.25">
      <c r="D43" s="403"/>
      <c r="H43" s="403"/>
      <c r="L43" s="403"/>
      <c r="P43" s="403"/>
      <c r="T43" s="403"/>
      <c r="X43" s="403"/>
      <c r="AB43" s="403"/>
      <c r="AF43" s="403"/>
      <c r="AJ43" s="403"/>
    </row>
    <row r="44" spans="4:36" x14ac:dyDescent="0.25">
      <c r="D44" s="403"/>
      <c r="H44" s="403"/>
      <c r="L44" s="403"/>
      <c r="P44" s="403"/>
      <c r="T44" s="403"/>
      <c r="X44" s="403"/>
      <c r="AB44" s="403"/>
      <c r="AF44" s="403"/>
      <c r="AJ44" s="403"/>
    </row>
    <row r="45" spans="4:36" x14ac:dyDescent="0.25">
      <c r="D45" s="403"/>
      <c r="H45" s="403"/>
      <c r="L45" s="403"/>
      <c r="P45" s="403"/>
      <c r="T45" s="403"/>
      <c r="X45" s="403"/>
      <c r="AB45" s="403"/>
      <c r="AF45" s="403"/>
      <c r="AJ45" s="403"/>
    </row>
    <row r="46" spans="4:36" x14ac:dyDescent="0.25">
      <c r="D46" s="403"/>
      <c r="H46" s="403"/>
      <c r="L46" s="403"/>
      <c r="P46" s="403"/>
      <c r="T46" s="403"/>
      <c r="X46" s="403"/>
      <c r="AB46" s="403"/>
      <c r="AF46" s="403"/>
      <c r="AJ46" s="403"/>
    </row>
    <row r="47" spans="4:36" x14ac:dyDescent="0.25">
      <c r="D47" s="403"/>
      <c r="H47" s="403"/>
      <c r="L47" s="403"/>
      <c r="P47" s="403"/>
      <c r="T47" s="403"/>
      <c r="X47" s="403"/>
      <c r="AB47" s="403"/>
      <c r="AF47" s="403"/>
      <c r="AJ47" s="403"/>
    </row>
    <row r="48" spans="4:36" x14ac:dyDescent="0.25">
      <c r="D48" s="403"/>
      <c r="H48" s="403"/>
      <c r="L48" s="403"/>
      <c r="P48" s="403"/>
      <c r="T48" s="403"/>
      <c r="X48" s="403"/>
      <c r="AB48" s="403"/>
      <c r="AF48" s="403"/>
      <c r="AJ48" s="403"/>
    </row>
    <row r="49" spans="4:36" x14ac:dyDescent="0.25">
      <c r="D49" s="403"/>
      <c r="H49" s="403"/>
      <c r="L49" s="403"/>
      <c r="P49" s="403"/>
      <c r="T49" s="403"/>
      <c r="X49" s="403"/>
      <c r="AB49" s="403"/>
      <c r="AF49" s="403"/>
      <c r="AJ49" s="403"/>
    </row>
    <row r="50" spans="4:36" x14ac:dyDescent="0.25">
      <c r="D50" s="403"/>
      <c r="H50" s="403"/>
      <c r="L50" s="403"/>
      <c r="P50" s="403"/>
      <c r="T50" s="403"/>
      <c r="X50" s="403"/>
      <c r="AB50" s="403"/>
      <c r="AF50" s="403"/>
      <c r="AJ50" s="403"/>
    </row>
    <row r="51" spans="4:36" x14ac:dyDescent="0.25">
      <c r="D51" s="403"/>
      <c r="H51" s="403"/>
      <c r="L51" s="403"/>
      <c r="P51" s="403"/>
      <c r="T51" s="403"/>
      <c r="X51" s="403"/>
      <c r="AB51" s="403"/>
      <c r="AF51" s="403"/>
      <c r="AJ51" s="403"/>
    </row>
    <row r="52" spans="4:36" x14ac:dyDescent="0.25">
      <c r="D52" s="403"/>
      <c r="H52" s="403"/>
      <c r="L52" s="403"/>
      <c r="P52" s="403"/>
      <c r="T52" s="403"/>
      <c r="X52" s="403"/>
      <c r="AB52" s="403"/>
      <c r="AF52" s="403"/>
      <c r="AJ52" s="403"/>
    </row>
    <row r="53" spans="4:36" x14ac:dyDescent="0.25">
      <c r="D53" s="403"/>
      <c r="H53" s="403"/>
      <c r="L53" s="403"/>
      <c r="P53" s="403"/>
      <c r="T53" s="403"/>
      <c r="X53" s="403"/>
      <c r="AB53" s="403"/>
      <c r="AF53" s="403"/>
      <c r="AJ53" s="403"/>
    </row>
    <row r="54" spans="4:36" x14ac:dyDescent="0.25">
      <c r="D54" s="403"/>
      <c r="H54" s="403"/>
      <c r="L54" s="403"/>
      <c r="P54" s="403"/>
      <c r="T54" s="403"/>
      <c r="X54" s="403"/>
      <c r="AB54" s="403"/>
      <c r="AF54" s="403"/>
      <c r="AJ54" s="403"/>
    </row>
    <row r="55" spans="4:36" x14ac:dyDescent="0.25">
      <c r="D55" s="403"/>
      <c r="H55" s="403"/>
      <c r="L55" s="403"/>
      <c r="P55" s="403"/>
      <c r="T55" s="403"/>
      <c r="X55" s="403"/>
      <c r="AB55" s="403"/>
      <c r="AF55" s="403"/>
      <c r="AJ55" s="403"/>
    </row>
    <row r="56" spans="4:36" x14ac:dyDescent="0.25">
      <c r="D56" s="403"/>
      <c r="H56" s="403"/>
      <c r="L56" s="403"/>
      <c r="P56" s="403"/>
      <c r="T56" s="403"/>
      <c r="X56" s="403"/>
      <c r="AB56" s="403"/>
      <c r="AF56" s="403"/>
      <c r="AJ56" s="403"/>
    </row>
    <row r="57" spans="4:36" x14ac:dyDescent="0.25">
      <c r="D57" s="403"/>
      <c r="H57" s="403"/>
      <c r="L57" s="403"/>
      <c r="P57" s="403"/>
      <c r="T57" s="403"/>
      <c r="X57" s="403"/>
      <c r="AB57" s="403"/>
      <c r="AF57" s="403"/>
      <c r="AJ57" s="403"/>
    </row>
    <row r="58" spans="4:36" x14ac:dyDescent="0.25">
      <c r="D58" s="403"/>
      <c r="H58" s="403"/>
      <c r="L58" s="403"/>
      <c r="P58" s="403"/>
      <c r="T58" s="403"/>
      <c r="X58" s="403"/>
      <c r="AB58" s="403"/>
      <c r="AF58" s="403"/>
      <c r="AJ58" s="403"/>
    </row>
    <row r="59" spans="4:36" x14ac:dyDescent="0.25">
      <c r="D59" s="403"/>
      <c r="H59" s="403"/>
      <c r="L59" s="403"/>
      <c r="P59" s="403"/>
      <c r="T59" s="403"/>
      <c r="X59" s="403"/>
      <c r="AB59" s="403"/>
      <c r="AF59" s="403"/>
      <c r="AJ59" s="403"/>
    </row>
    <row r="60" spans="4:36" x14ac:dyDescent="0.25">
      <c r="D60" s="403"/>
      <c r="H60" s="403"/>
      <c r="L60" s="403"/>
      <c r="P60" s="403"/>
      <c r="T60" s="403"/>
      <c r="X60" s="403"/>
      <c r="AB60" s="403"/>
      <c r="AF60" s="403"/>
      <c r="AJ60" s="403"/>
    </row>
    <row r="61" spans="4:36" x14ac:dyDescent="0.25">
      <c r="D61" s="403"/>
      <c r="H61" s="403"/>
      <c r="L61" s="403"/>
      <c r="P61" s="403"/>
      <c r="T61" s="403"/>
      <c r="X61" s="403"/>
      <c r="AB61" s="403"/>
      <c r="AF61" s="403"/>
      <c r="AJ61" s="403"/>
    </row>
    <row r="62" spans="4:36" x14ac:dyDescent="0.25">
      <c r="D62" s="403"/>
      <c r="H62" s="403"/>
      <c r="L62" s="403"/>
      <c r="P62" s="403"/>
      <c r="T62" s="403"/>
      <c r="X62" s="403"/>
      <c r="AB62" s="403"/>
      <c r="AF62" s="403"/>
      <c r="AJ62" s="403"/>
    </row>
    <row r="63" spans="4:36" x14ac:dyDescent="0.25">
      <c r="D63" s="403"/>
      <c r="H63" s="403"/>
      <c r="L63" s="403"/>
      <c r="P63" s="403"/>
      <c r="T63" s="403"/>
      <c r="X63" s="403"/>
      <c r="AB63" s="403"/>
      <c r="AF63" s="403"/>
      <c r="AJ63" s="403"/>
    </row>
    <row r="64" spans="4:36" x14ac:dyDescent="0.25">
      <c r="D64" s="403"/>
      <c r="H64" s="403"/>
      <c r="L64" s="403"/>
      <c r="P64" s="403"/>
      <c r="T64" s="403"/>
      <c r="X64" s="403"/>
      <c r="AB64" s="403"/>
      <c r="AF64" s="403"/>
      <c r="AJ64" s="403"/>
    </row>
    <row r="65" spans="4:36" x14ac:dyDescent="0.25">
      <c r="D65" s="403"/>
      <c r="H65" s="403"/>
      <c r="L65" s="403"/>
      <c r="P65" s="403"/>
      <c r="T65" s="403"/>
      <c r="X65" s="403"/>
      <c r="AB65" s="403"/>
      <c r="AF65" s="403"/>
      <c r="AJ65" s="403"/>
    </row>
    <row r="66" spans="4:36" x14ac:dyDescent="0.25">
      <c r="D66" s="403"/>
      <c r="H66" s="403"/>
      <c r="L66" s="403"/>
      <c r="P66" s="403"/>
      <c r="T66" s="403"/>
      <c r="X66" s="403"/>
      <c r="AB66" s="403"/>
      <c r="AF66" s="403"/>
      <c r="AJ66" s="403"/>
    </row>
    <row r="67" spans="4:36" x14ac:dyDescent="0.25">
      <c r="D67" s="403"/>
      <c r="H67" s="403"/>
      <c r="L67" s="403"/>
      <c r="P67" s="403"/>
      <c r="T67" s="403"/>
      <c r="X67" s="403"/>
      <c r="AB67" s="403"/>
      <c r="AF67" s="403"/>
      <c r="AJ67" s="403"/>
    </row>
    <row r="68" spans="4:36" x14ac:dyDescent="0.25">
      <c r="D68" s="403"/>
      <c r="H68" s="403"/>
      <c r="L68" s="403"/>
      <c r="P68" s="403"/>
      <c r="T68" s="403"/>
      <c r="X68" s="403"/>
      <c r="AB68" s="403"/>
      <c r="AF68" s="403"/>
      <c r="AJ68" s="403"/>
    </row>
    <row r="69" spans="4:36" x14ac:dyDescent="0.25">
      <c r="D69" s="403"/>
      <c r="H69" s="403"/>
      <c r="L69" s="403"/>
      <c r="P69" s="403"/>
      <c r="T69" s="403"/>
      <c r="X69" s="403"/>
      <c r="AB69" s="403"/>
      <c r="AF69" s="403"/>
      <c r="AJ69" s="403"/>
    </row>
    <row r="70" spans="4:36" x14ac:dyDescent="0.25">
      <c r="D70" s="403"/>
      <c r="H70" s="403"/>
      <c r="L70" s="403"/>
      <c r="P70" s="403"/>
      <c r="T70" s="403"/>
      <c r="X70" s="403"/>
      <c r="AB70" s="403"/>
      <c r="AF70" s="403"/>
      <c r="AJ70" s="403"/>
    </row>
    <row r="71" spans="4:36" x14ac:dyDescent="0.25">
      <c r="D71" s="403"/>
      <c r="H71" s="403"/>
      <c r="L71" s="403"/>
      <c r="P71" s="403"/>
      <c r="T71" s="403"/>
      <c r="X71" s="403"/>
      <c r="AB71" s="403"/>
      <c r="AF71" s="403"/>
      <c r="AJ71" s="403"/>
    </row>
    <row r="72" spans="4:36" x14ac:dyDescent="0.25">
      <c r="D72" s="403"/>
      <c r="H72" s="403"/>
      <c r="L72" s="403"/>
      <c r="P72" s="403"/>
      <c r="T72" s="403"/>
      <c r="X72" s="403"/>
      <c r="AB72" s="403"/>
      <c r="AF72" s="403"/>
      <c r="AJ72" s="403"/>
    </row>
    <row r="73" spans="4:36" x14ac:dyDescent="0.25">
      <c r="D73" s="403"/>
      <c r="H73" s="403"/>
      <c r="L73" s="403"/>
      <c r="P73" s="403"/>
      <c r="T73" s="403"/>
      <c r="X73" s="403"/>
      <c r="AB73" s="403"/>
      <c r="AF73" s="403"/>
      <c r="AJ73" s="403"/>
    </row>
    <row r="74" spans="4:36" x14ac:dyDescent="0.25">
      <c r="D74" s="403"/>
      <c r="H74" s="403"/>
      <c r="L74" s="403"/>
      <c r="P74" s="403"/>
      <c r="T74" s="403"/>
      <c r="X74" s="403"/>
      <c r="AB74" s="403"/>
      <c r="AF74" s="403"/>
      <c r="AJ74" s="403"/>
    </row>
    <row r="75" spans="4:36" x14ac:dyDescent="0.25">
      <c r="D75" s="403"/>
      <c r="H75" s="403"/>
      <c r="L75" s="403"/>
      <c r="P75" s="403"/>
      <c r="T75" s="403"/>
      <c r="X75" s="403"/>
      <c r="AB75" s="403"/>
      <c r="AF75" s="403"/>
      <c r="AJ75" s="403"/>
    </row>
    <row r="76" spans="4:36" x14ac:dyDescent="0.25">
      <c r="D76" s="403"/>
      <c r="H76" s="403"/>
      <c r="L76" s="403"/>
      <c r="P76" s="403"/>
      <c r="T76" s="403"/>
      <c r="X76" s="403"/>
      <c r="AB76" s="403"/>
      <c r="AF76" s="403"/>
      <c r="AJ76" s="403"/>
    </row>
    <row r="77" spans="4:36" x14ac:dyDescent="0.25">
      <c r="D77" s="403"/>
      <c r="H77" s="403"/>
      <c r="L77" s="403"/>
      <c r="P77" s="403"/>
      <c r="T77" s="403"/>
      <c r="X77" s="403"/>
      <c r="AB77" s="403"/>
      <c r="AF77" s="403"/>
      <c r="AJ77" s="403"/>
    </row>
    <row r="78" spans="4:36" x14ac:dyDescent="0.25">
      <c r="D78" s="403"/>
      <c r="H78" s="403"/>
      <c r="L78" s="403"/>
      <c r="P78" s="403"/>
      <c r="T78" s="403"/>
      <c r="X78" s="403"/>
      <c r="AB78" s="403"/>
      <c r="AF78" s="403"/>
      <c r="AJ78" s="403"/>
    </row>
    <row r="79" spans="4:36" x14ac:dyDescent="0.25">
      <c r="D79" s="403"/>
      <c r="H79" s="403"/>
      <c r="L79" s="403"/>
      <c r="P79" s="403"/>
      <c r="T79" s="403"/>
      <c r="X79" s="403"/>
      <c r="AB79" s="403"/>
      <c r="AF79" s="403"/>
      <c r="AJ79" s="403"/>
    </row>
    <row r="80" spans="4:36" x14ac:dyDescent="0.25">
      <c r="D80" s="403"/>
      <c r="H80" s="403"/>
      <c r="L80" s="403"/>
      <c r="P80" s="403"/>
      <c r="T80" s="403"/>
      <c r="X80" s="403"/>
      <c r="AB80" s="403"/>
      <c r="AF80" s="403"/>
      <c r="AJ80" s="403"/>
    </row>
    <row r="81" spans="4:36" x14ac:dyDescent="0.25">
      <c r="D81" s="403"/>
      <c r="H81" s="403"/>
      <c r="L81" s="403"/>
      <c r="P81" s="403"/>
      <c r="T81" s="403"/>
      <c r="X81" s="403"/>
      <c r="AB81" s="403"/>
      <c r="AF81" s="403"/>
      <c r="AJ81" s="403"/>
    </row>
    <row r="82" spans="4:36" x14ac:dyDescent="0.25">
      <c r="D82" s="403"/>
      <c r="H82" s="403"/>
      <c r="L82" s="403"/>
      <c r="P82" s="403"/>
      <c r="T82" s="403"/>
      <c r="X82" s="403"/>
      <c r="AB82" s="403"/>
      <c r="AF82" s="403"/>
      <c r="AJ82" s="403"/>
    </row>
    <row r="83" spans="4:36" x14ac:dyDescent="0.25">
      <c r="D83" s="403"/>
      <c r="H83" s="403"/>
      <c r="L83" s="403"/>
      <c r="P83" s="403"/>
      <c r="T83" s="403"/>
      <c r="X83" s="403"/>
      <c r="AB83" s="403"/>
      <c r="AF83" s="403"/>
      <c r="AJ83" s="403"/>
    </row>
    <row r="84" spans="4:36" x14ac:dyDescent="0.25">
      <c r="D84" s="403"/>
      <c r="H84" s="403"/>
      <c r="L84" s="403"/>
      <c r="P84" s="403"/>
      <c r="T84" s="403"/>
      <c r="X84" s="403"/>
      <c r="AB84" s="403"/>
      <c r="AF84" s="403"/>
      <c r="AJ84" s="403"/>
    </row>
    <row r="85" spans="4:36" x14ac:dyDescent="0.25">
      <c r="D85" s="403"/>
      <c r="H85" s="403"/>
      <c r="L85" s="403"/>
      <c r="P85" s="403"/>
      <c r="T85" s="403"/>
      <c r="X85" s="403"/>
      <c r="AB85" s="403"/>
      <c r="AF85" s="403"/>
      <c r="AJ85" s="403"/>
    </row>
    <row r="86" spans="4:36" x14ac:dyDescent="0.25">
      <c r="D86" s="403"/>
      <c r="H86" s="403"/>
      <c r="L86" s="403"/>
      <c r="P86" s="403"/>
      <c r="T86" s="403"/>
      <c r="X86" s="403"/>
      <c r="AB86" s="403"/>
      <c r="AF86" s="403"/>
      <c r="AJ86" s="403"/>
    </row>
    <row r="87" spans="4:36" x14ac:dyDescent="0.25">
      <c r="D87" s="403"/>
      <c r="H87" s="403"/>
      <c r="L87" s="403"/>
      <c r="P87" s="403"/>
      <c r="T87" s="403"/>
      <c r="X87" s="403"/>
      <c r="AB87" s="403"/>
      <c r="AF87" s="403"/>
      <c r="AJ87" s="403"/>
    </row>
    <row r="88" spans="4:36" x14ac:dyDescent="0.25">
      <c r="D88" s="403"/>
      <c r="H88" s="403"/>
      <c r="L88" s="403"/>
      <c r="P88" s="403"/>
      <c r="T88" s="403"/>
      <c r="X88" s="403"/>
      <c r="AB88" s="403"/>
      <c r="AF88" s="403"/>
      <c r="AJ88" s="403"/>
    </row>
    <row r="89" spans="4:36" x14ac:dyDescent="0.25">
      <c r="D89" s="403"/>
      <c r="H89" s="403"/>
      <c r="L89" s="403"/>
      <c r="P89" s="403"/>
      <c r="T89" s="403"/>
      <c r="X89" s="403"/>
      <c r="AB89" s="403"/>
      <c r="AF89" s="403"/>
      <c r="AJ89" s="403"/>
    </row>
    <row r="90" spans="4:36" x14ac:dyDescent="0.25">
      <c r="D90" s="403"/>
      <c r="H90" s="403"/>
      <c r="L90" s="403"/>
      <c r="P90" s="403"/>
      <c r="T90" s="403"/>
      <c r="X90" s="403"/>
      <c r="AB90" s="403"/>
      <c r="AF90" s="403"/>
      <c r="AJ90" s="403"/>
    </row>
    <row r="91" spans="4:36" x14ac:dyDescent="0.25">
      <c r="D91" s="403"/>
      <c r="H91" s="403"/>
      <c r="L91" s="403"/>
      <c r="P91" s="403"/>
      <c r="T91" s="403"/>
      <c r="X91" s="403"/>
      <c r="AB91" s="403"/>
      <c r="AF91" s="403"/>
      <c r="AJ91" s="403"/>
    </row>
    <row r="92" spans="4:36" x14ac:dyDescent="0.25">
      <c r="D92" s="403"/>
      <c r="H92" s="403"/>
      <c r="L92" s="403"/>
      <c r="P92" s="403"/>
      <c r="T92" s="403"/>
      <c r="X92" s="403"/>
      <c r="AB92" s="403"/>
      <c r="AF92" s="403"/>
      <c r="AJ92" s="403"/>
    </row>
    <row r="93" spans="4:36" x14ac:dyDescent="0.25">
      <c r="D93" s="403"/>
      <c r="H93" s="403"/>
      <c r="L93" s="403"/>
      <c r="P93" s="403"/>
      <c r="T93" s="403"/>
      <c r="X93" s="403"/>
      <c r="AB93" s="403"/>
      <c r="AF93" s="403"/>
      <c r="AJ93" s="403"/>
    </row>
    <row r="94" spans="4:36" x14ac:dyDescent="0.25">
      <c r="D94" s="403"/>
      <c r="H94" s="403"/>
      <c r="L94" s="403"/>
      <c r="P94" s="403"/>
      <c r="T94" s="403"/>
      <c r="X94" s="403"/>
      <c r="AB94" s="403"/>
      <c r="AF94" s="403"/>
      <c r="AJ94" s="403"/>
    </row>
    <row r="95" spans="4:36" x14ac:dyDescent="0.25">
      <c r="D95" s="403"/>
      <c r="H95" s="403"/>
      <c r="L95" s="403"/>
      <c r="P95" s="403"/>
      <c r="T95" s="403"/>
      <c r="X95" s="403"/>
      <c r="AB95" s="403"/>
      <c r="AF95" s="403"/>
      <c r="AJ95" s="403"/>
    </row>
    <row r="96" spans="4:36" x14ac:dyDescent="0.25">
      <c r="D96" s="403"/>
      <c r="H96" s="403"/>
      <c r="L96" s="403"/>
      <c r="P96" s="403"/>
      <c r="T96" s="403"/>
      <c r="X96" s="403"/>
      <c r="AB96" s="403"/>
      <c r="AF96" s="403"/>
      <c r="AJ96" s="403"/>
    </row>
    <row r="97" spans="4:36" x14ac:dyDescent="0.25">
      <c r="D97" s="403"/>
      <c r="H97" s="403"/>
      <c r="L97" s="403"/>
      <c r="P97" s="403"/>
      <c r="T97" s="403"/>
      <c r="X97" s="403"/>
      <c r="AB97" s="403"/>
      <c r="AF97" s="403"/>
      <c r="AJ97" s="403"/>
    </row>
    <row r="98" spans="4:36" x14ac:dyDescent="0.25">
      <c r="D98" s="403"/>
      <c r="H98" s="403"/>
      <c r="L98" s="403"/>
      <c r="P98" s="403"/>
      <c r="T98" s="403"/>
      <c r="X98" s="403"/>
      <c r="AB98" s="403"/>
      <c r="AF98" s="403"/>
      <c r="AJ98" s="403"/>
    </row>
    <row r="99" spans="4:36" x14ac:dyDescent="0.25">
      <c r="D99" s="403"/>
      <c r="H99" s="403"/>
      <c r="L99" s="403"/>
      <c r="P99" s="403"/>
      <c r="T99" s="403"/>
      <c r="X99" s="403"/>
      <c r="AB99" s="403"/>
      <c r="AF99" s="403"/>
      <c r="AJ99" s="403"/>
    </row>
    <row r="100" spans="4:36" x14ac:dyDescent="0.25">
      <c r="D100" s="403"/>
      <c r="H100" s="403"/>
      <c r="L100" s="403"/>
      <c r="P100" s="403"/>
      <c r="T100" s="403"/>
      <c r="X100" s="403"/>
      <c r="AB100" s="403"/>
      <c r="AF100" s="403"/>
      <c r="AJ100" s="403"/>
    </row>
    <row r="101" spans="4:36" x14ac:dyDescent="0.25">
      <c r="D101" s="403"/>
      <c r="H101" s="403"/>
      <c r="L101" s="403"/>
      <c r="P101" s="403"/>
      <c r="T101" s="403"/>
      <c r="X101" s="403"/>
      <c r="AB101" s="403"/>
      <c r="AF101" s="403"/>
      <c r="AJ101" s="403"/>
    </row>
    <row r="102" spans="4:36" x14ac:dyDescent="0.25">
      <c r="D102" s="403"/>
      <c r="H102" s="403"/>
      <c r="L102" s="403"/>
      <c r="P102" s="403"/>
      <c r="T102" s="403"/>
      <c r="X102" s="403"/>
      <c r="AB102" s="403"/>
      <c r="AF102" s="403"/>
      <c r="AJ102" s="403"/>
    </row>
    <row r="103" spans="4:36" x14ac:dyDescent="0.25">
      <c r="D103" s="403"/>
      <c r="H103" s="403"/>
      <c r="L103" s="403"/>
      <c r="P103" s="403"/>
      <c r="T103" s="403"/>
      <c r="X103" s="403"/>
      <c r="AB103" s="403"/>
      <c r="AF103" s="403"/>
      <c r="AJ103" s="403"/>
    </row>
    <row r="104" spans="4:36" x14ac:dyDescent="0.25">
      <c r="D104" s="403"/>
      <c r="H104" s="403"/>
      <c r="L104" s="403"/>
      <c r="P104" s="403"/>
      <c r="T104" s="403"/>
      <c r="X104" s="403"/>
      <c r="AB104" s="403"/>
      <c r="AF104" s="403"/>
      <c r="AJ104" s="403"/>
    </row>
    <row r="105" spans="4:36" x14ac:dyDescent="0.25">
      <c r="D105" s="403"/>
      <c r="H105" s="403"/>
      <c r="L105" s="403"/>
      <c r="P105" s="403"/>
      <c r="T105" s="403"/>
      <c r="X105" s="403"/>
      <c r="AB105" s="403"/>
      <c r="AF105" s="403"/>
      <c r="AJ105" s="403"/>
    </row>
    <row r="106" spans="4:36" x14ac:dyDescent="0.25">
      <c r="D106" s="403"/>
      <c r="H106" s="403"/>
      <c r="L106" s="403"/>
      <c r="P106" s="403"/>
      <c r="T106" s="403"/>
      <c r="X106" s="403"/>
      <c r="AB106" s="403"/>
      <c r="AF106" s="403"/>
      <c r="AJ106" s="403"/>
    </row>
    <row r="107" spans="4:36" x14ac:dyDescent="0.25">
      <c r="D107" s="403"/>
      <c r="H107" s="403"/>
      <c r="L107" s="403"/>
      <c r="P107" s="403"/>
      <c r="T107" s="403"/>
      <c r="X107" s="403"/>
      <c r="AB107" s="403"/>
      <c r="AF107" s="403"/>
      <c r="AJ107" s="403"/>
    </row>
    <row r="108" spans="4:36" x14ac:dyDescent="0.25">
      <c r="D108" s="403"/>
      <c r="H108" s="403"/>
      <c r="L108" s="403"/>
      <c r="P108" s="403"/>
      <c r="T108" s="403"/>
      <c r="X108" s="403"/>
      <c r="AB108" s="403"/>
      <c r="AF108" s="403"/>
      <c r="AJ108" s="403"/>
    </row>
    <row r="109" spans="4:36" x14ac:dyDescent="0.25">
      <c r="D109" s="403"/>
      <c r="H109" s="403"/>
      <c r="L109" s="403"/>
      <c r="P109" s="403"/>
      <c r="T109" s="403"/>
      <c r="X109" s="403"/>
      <c r="AB109" s="403"/>
      <c r="AF109" s="403"/>
      <c r="AJ109" s="403"/>
    </row>
    <row r="110" spans="4:36" x14ac:dyDescent="0.25">
      <c r="D110" s="403"/>
      <c r="H110" s="403"/>
      <c r="L110" s="403"/>
      <c r="P110" s="403"/>
      <c r="T110" s="403"/>
      <c r="X110" s="403"/>
      <c r="AB110" s="403"/>
      <c r="AF110" s="403"/>
      <c r="AJ110" s="403"/>
    </row>
    <row r="111" spans="4:36" x14ac:dyDescent="0.25">
      <c r="D111" s="403"/>
      <c r="H111" s="403"/>
      <c r="L111" s="403"/>
      <c r="P111" s="403"/>
      <c r="T111" s="403"/>
      <c r="X111" s="403"/>
      <c r="AB111" s="403"/>
      <c r="AF111" s="403"/>
      <c r="AJ111" s="403"/>
    </row>
    <row r="112" spans="4:36" x14ac:dyDescent="0.25">
      <c r="D112" s="403"/>
      <c r="H112" s="403"/>
      <c r="L112" s="403"/>
      <c r="P112" s="403"/>
      <c r="T112" s="403"/>
      <c r="X112" s="403"/>
      <c r="AB112" s="403"/>
      <c r="AF112" s="403"/>
      <c r="AJ112" s="403"/>
    </row>
    <row r="113" spans="4:36" x14ac:dyDescent="0.25">
      <c r="D113" s="403"/>
      <c r="H113" s="403"/>
      <c r="L113" s="403"/>
      <c r="P113" s="403"/>
      <c r="T113" s="403"/>
      <c r="X113" s="403"/>
      <c r="AB113" s="403"/>
      <c r="AF113" s="403"/>
      <c r="AJ113" s="403"/>
    </row>
    <row r="114" spans="4:36" x14ac:dyDescent="0.25">
      <c r="D114" s="403"/>
      <c r="H114" s="403"/>
      <c r="L114" s="403"/>
      <c r="P114" s="403"/>
      <c r="T114" s="403"/>
      <c r="X114" s="403"/>
      <c r="AB114" s="403"/>
      <c r="AF114" s="403"/>
      <c r="AJ114" s="403"/>
    </row>
    <row r="115" spans="4:36" x14ac:dyDescent="0.25">
      <c r="D115" s="403"/>
      <c r="H115" s="403"/>
      <c r="L115" s="403"/>
      <c r="P115" s="403"/>
      <c r="T115" s="403"/>
      <c r="X115" s="403"/>
      <c r="AB115" s="403"/>
      <c r="AF115" s="403"/>
      <c r="AJ115" s="403"/>
    </row>
    <row r="116" spans="4:36" x14ac:dyDescent="0.25">
      <c r="D116" s="403"/>
      <c r="H116" s="403"/>
      <c r="L116" s="403"/>
      <c r="P116" s="403"/>
      <c r="T116" s="403"/>
      <c r="X116" s="403"/>
      <c r="AB116" s="403"/>
      <c r="AF116" s="403"/>
      <c r="AJ116" s="403"/>
    </row>
    <row r="117" spans="4:36" x14ac:dyDescent="0.25">
      <c r="D117" s="403"/>
      <c r="H117" s="403"/>
      <c r="L117" s="403"/>
      <c r="P117" s="403"/>
      <c r="T117" s="403"/>
      <c r="X117" s="403"/>
      <c r="AB117" s="403"/>
      <c r="AF117" s="403"/>
      <c r="AJ117" s="403"/>
    </row>
    <row r="118" spans="4:36" x14ac:dyDescent="0.25">
      <c r="D118" s="403"/>
      <c r="H118" s="403"/>
      <c r="L118" s="403"/>
      <c r="P118" s="403"/>
      <c r="T118" s="403"/>
      <c r="X118" s="403"/>
      <c r="AB118" s="403"/>
      <c r="AF118" s="403"/>
      <c r="AJ118" s="403"/>
    </row>
    <row r="119" spans="4:36" x14ac:dyDescent="0.25">
      <c r="D119" s="403"/>
      <c r="H119" s="403"/>
      <c r="L119" s="403"/>
      <c r="P119" s="403"/>
      <c r="T119" s="403"/>
      <c r="X119" s="403"/>
      <c r="AB119" s="403"/>
      <c r="AF119" s="403"/>
      <c r="AJ119" s="403"/>
    </row>
    <row r="120" spans="4:36" x14ac:dyDescent="0.25">
      <c r="D120" s="403"/>
      <c r="H120" s="403"/>
      <c r="L120" s="403"/>
      <c r="P120" s="403"/>
      <c r="T120" s="403"/>
      <c r="X120" s="403"/>
      <c r="AB120" s="403"/>
      <c r="AF120" s="403"/>
      <c r="AJ120" s="403"/>
    </row>
    <row r="121" spans="4:36" x14ac:dyDescent="0.25">
      <c r="D121" s="403"/>
      <c r="H121" s="403"/>
      <c r="L121" s="403"/>
      <c r="P121" s="403"/>
      <c r="T121" s="403"/>
      <c r="X121" s="403"/>
      <c r="AB121" s="403"/>
      <c r="AF121" s="403"/>
      <c r="AJ121" s="403"/>
    </row>
    <row r="122" spans="4:36" x14ac:dyDescent="0.25">
      <c r="D122" s="403"/>
      <c r="H122" s="403"/>
      <c r="L122" s="403"/>
      <c r="P122" s="403"/>
      <c r="T122" s="403"/>
      <c r="X122" s="403"/>
      <c r="AB122" s="403"/>
      <c r="AF122" s="403"/>
      <c r="AJ122" s="403"/>
    </row>
    <row r="123" spans="4:36" x14ac:dyDescent="0.25">
      <c r="D123" s="403"/>
      <c r="H123" s="403"/>
      <c r="L123" s="403"/>
      <c r="P123" s="403"/>
      <c r="T123" s="403"/>
      <c r="X123" s="403"/>
      <c r="AB123" s="403"/>
      <c r="AF123" s="403"/>
      <c r="AJ123" s="403"/>
    </row>
    <row r="124" spans="4:36" x14ac:dyDescent="0.25">
      <c r="D124" s="403"/>
      <c r="H124" s="403"/>
      <c r="L124" s="403"/>
      <c r="P124" s="403"/>
      <c r="T124" s="403"/>
      <c r="X124" s="403"/>
      <c r="AB124" s="403"/>
      <c r="AF124" s="403"/>
      <c r="AJ124" s="403"/>
    </row>
    <row r="125" spans="4:36" x14ac:dyDescent="0.25">
      <c r="D125" s="403" t="s">
        <v>1511</v>
      </c>
      <c r="E125" s="394">
        <v>30.35</v>
      </c>
      <c r="F125" s="394">
        <v>25</v>
      </c>
      <c r="H125" s="403"/>
      <c r="L125" s="403"/>
      <c r="P125" s="403"/>
      <c r="T125" s="403"/>
      <c r="X125" s="403"/>
      <c r="AB125" s="403"/>
      <c r="AF125" s="403"/>
      <c r="AJ125" s="403"/>
    </row>
    <row r="126" spans="4:36" x14ac:dyDescent="0.25">
      <c r="D126" s="403"/>
      <c r="H126" s="403"/>
      <c r="L126" s="403"/>
      <c r="P126" s="403"/>
      <c r="T126" s="403"/>
      <c r="X126" s="403"/>
      <c r="AB126" s="403"/>
      <c r="AF126" s="403"/>
      <c r="AJ126" s="403"/>
    </row>
    <row r="127" spans="4:36" x14ac:dyDescent="0.25">
      <c r="D127" s="403"/>
      <c r="H127" s="403"/>
      <c r="L127" s="403"/>
      <c r="P127" s="403"/>
      <c r="T127" s="403"/>
      <c r="X127" s="403"/>
      <c r="AB127" s="403"/>
      <c r="AF127" s="403"/>
      <c r="AJ127" s="403"/>
    </row>
    <row r="128" spans="4:36" x14ac:dyDescent="0.25">
      <c r="D128" s="403"/>
      <c r="H128" s="403"/>
      <c r="L128" s="403"/>
      <c r="P128" s="403"/>
      <c r="T128" s="403"/>
      <c r="X128" s="403"/>
      <c r="AB128" s="403"/>
      <c r="AF128" s="403"/>
      <c r="AJ128" s="403"/>
    </row>
    <row r="129" spans="4:36" x14ac:dyDescent="0.25">
      <c r="D129" s="403"/>
      <c r="H129" s="403"/>
      <c r="L129" s="403"/>
      <c r="P129" s="403"/>
      <c r="T129" s="403"/>
      <c r="X129" s="403"/>
      <c r="AB129" s="403"/>
      <c r="AF129" s="403"/>
      <c r="AJ129" s="403"/>
    </row>
    <row r="130" spans="4:36" x14ac:dyDescent="0.25">
      <c r="D130" s="403"/>
      <c r="H130" s="403"/>
      <c r="L130" s="403"/>
      <c r="P130" s="403"/>
      <c r="T130" s="403"/>
      <c r="X130" s="403"/>
      <c r="AB130" s="403"/>
      <c r="AF130" s="403"/>
      <c r="AJ130" s="403"/>
    </row>
    <row r="131" spans="4:36" x14ac:dyDescent="0.25">
      <c r="D131" s="403"/>
      <c r="H131" s="403"/>
      <c r="L131" s="403"/>
      <c r="P131" s="403"/>
      <c r="T131" s="403"/>
      <c r="X131" s="403"/>
      <c r="AB131" s="403"/>
      <c r="AF131" s="403"/>
      <c r="AJ131" s="403"/>
    </row>
    <row r="132" spans="4:36" x14ac:dyDescent="0.25">
      <c r="D132" s="403"/>
      <c r="H132" s="403"/>
      <c r="L132" s="403"/>
      <c r="P132" s="403"/>
      <c r="T132" s="403"/>
      <c r="X132" s="403"/>
      <c r="AB132" s="403"/>
      <c r="AF132" s="403"/>
      <c r="AJ132" s="403"/>
    </row>
    <row r="133" spans="4:36" x14ac:dyDescent="0.25">
      <c r="D133" s="403"/>
      <c r="H133" s="403"/>
      <c r="L133" s="403"/>
      <c r="P133" s="403"/>
      <c r="T133" s="403"/>
      <c r="X133" s="403"/>
      <c r="AB133" s="403"/>
      <c r="AF133" s="403"/>
      <c r="AJ133" s="403"/>
    </row>
    <row r="134" spans="4:36" x14ac:dyDescent="0.25">
      <c r="D134" s="403"/>
      <c r="H134" s="403"/>
      <c r="L134" s="403"/>
      <c r="P134" s="403"/>
      <c r="T134" s="403"/>
      <c r="X134" s="403"/>
      <c r="AB134" s="403"/>
      <c r="AF134" s="403"/>
      <c r="AJ134" s="403"/>
    </row>
    <row r="135" spans="4:36" x14ac:dyDescent="0.25">
      <c r="D135" s="403"/>
      <c r="H135" s="403"/>
      <c r="L135" s="403"/>
      <c r="P135" s="403"/>
      <c r="T135" s="403"/>
      <c r="X135" s="403"/>
      <c r="AB135" s="403"/>
      <c r="AF135" s="403"/>
      <c r="AJ135" s="403"/>
    </row>
    <row r="136" spans="4:36" x14ac:dyDescent="0.25">
      <c r="D136" s="403"/>
      <c r="H136" s="403"/>
      <c r="L136" s="403"/>
      <c r="P136" s="403"/>
      <c r="T136" s="403"/>
      <c r="X136" s="403"/>
      <c r="AB136" s="403"/>
      <c r="AF136" s="403"/>
      <c r="AJ136" s="403"/>
    </row>
    <row r="137" spans="4:36" x14ac:dyDescent="0.25">
      <c r="D137" s="403"/>
      <c r="H137" s="403"/>
      <c r="L137" s="403"/>
      <c r="P137" s="403"/>
      <c r="T137" s="403"/>
      <c r="X137" s="403"/>
      <c r="AB137" s="403"/>
      <c r="AF137" s="403"/>
      <c r="AJ137" s="403"/>
    </row>
    <row r="138" spans="4:36" x14ac:dyDescent="0.25">
      <c r="D138" s="403"/>
      <c r="H138" s="403"/>
      <c r="L138" s="403"/>
      <c r="P138" s="403"/>
      <c r="T138" s="403"/>
      <c r="X138" s="403"/>
      <c r="AB138" s="403"/>
      <c r="AF138" s="403"/>
      <c r="AJ138" s="403"/>
    </row>
    <row r="139" spans="4:36" x14ac:dyDescent="0.25">
      <c r="D139" s="403"/>
      <c r="H139" s="403"/>
      <c r="L139" s="403"/>
      <c r="P139" s="403"/>
      <c r="T139" s="403"/>
      <c r="X139" s="403"/>
      <c r="AB139" s="403"/>
      <c r="AF139" s="403"/>
      <c r="AJ139" s="403"/>
    </row>
    <row r="140" spans="4:36" x14ac:dyDescent="0.25">
      <c r="D140" s="403"/>
      <c r="H140" s="403"/>
      <c r="L140" s="403"/>
      <c r="P140" s="403"/>
      <c r="T140" s="403"/>
      <c r="X140" s="403"/>
      <c r="AB140" s="403"/>
      <c r="AF140" s="403"/>
      <c r="AJ140" s="403"/>
    </row>
    <row r="141" spans="4:36" x14ac:dyDescent="0.25">
      <c r="D141" s="403"/>
      <c r="H141" s="403"/>
      <c r="L141" s="403"/>
      <c r="P141" s="403"/>
      <c r="T141" s="403"/>
      <c r="X141" s="403"/>
      <c r="AB141" s="403"/>
      <c r="AF141" s="403"/>
      <c r="AJ141" s="403"/>
    </row>
    <row r="142" spans="4:36" x14ac:dyDescent="0.25">
      <c r="D142" s="403"/>
      <c r="H142" s="403"/>
      <c r="L142" s="403"/>
      <c r="P142" s="403"/>
      <c r="T142" s="403"/>
      <c r="X142" s="403"/>
      <c r="AB142" s="403"/>
      <c r="AF142" s="403"/>
      <c r="AJ142" s="403"/>
    </row>
    <row r="143" spans="4:36" x14ac:dyDescent="0.25">
      <c r="D143" s="403"/>
      <c r="H143" s="403"/>
      <c r="L143" s="403"/>
      <c r="P143" s="403"/>
      <c r="T143" s="403"/>
      <c r="X143" s="403"/>
      <c r="AB143" s="403"/>
      <c r="AF143" s="403"/>
      <c r="AJ143" s="403"/>
    </row>
    <row r="144" spans="4:36" x14ac:dyDescent="0.25">
      <c r="D144" s="403"/>
      <c r="H144" s="403"/>
      <c r="L144" s="403"/>
      <c r="P144" s="403"/>
      <c r="T144" s="403"/>
      <c r="X144" s="403"/>
      <c r="AB144" s="403"/>
      <c r="AF144" s="403"/>
      <c r="AJ144" s="403"/>
    </row>
    <row r="145" spans="4:36" x14ac:dyDescent="0.25">
      <c r="D145" s="403"/>
      <c r="H145" s="403"/>
      <c r="L145" s="403"/>
      <c r="P145" s="403"/>
      <c r="T145" s="403"/>
      <c r="X145" s="403"/>
      <c r="AB145" s="403"/>
      <c r="AF145" s="403"/>
      <c r="AJ145" s="403"/>
    </row>
    <row r="146" spans="4:36" x14ac:dyDescent="0.25">
      <c r="D146" s="403"/>
      <c r="H146" s="403"/>
      <c r="L146" s="403"/>
      <c r="P146" s="403"/>
      <c r="T146" s="403"/>
      <c r="X146" s="403"/>
      <c r="AB146" s="403"/>
      <c r="AF146" s="403"/>
      <c r="AJ146" s="403"/>
    </row>
    <row r="147" spans="4:36" x14ac:dyDescent="0.25">
      <c r="D147" s="403"/>
      <c r="H147" s="403"/>
      <c r="L147" s="403"/>
      <c r="P147" s="403"/>
      <c r="T147" s="403"/>
      <c r="X147" s="403"/>
      <c r="AB147" s="403"/>
      <c r="AF147" s="403"/>
      <c r="AJ147" s="403"/>
    </row>
    <row r="148" spans="4:36" x14ac:dyDescent="0.25">
      <c r="D148" s="403"/>
      <c r="H148" s="403"/>
      <c r="L148" s="403"/>
      <c r="P148" s="403"/>
      <c r="T148" s="403"/>
      <c r="X148" s="403"/>
      <c r="AB148" s="403"/>
      <c r="AF148" s="403"/>
      <c r="AJ148" s="403"/>
    </row>
    <row r="149" spans="4:36" x14ac:dyDescent="0.25">
      <c r="D149" s="403"/>
      <c r="H149" s="403"/>
      <c r="L149" s="403"/>
      <c r="P149" s="403"/>
      <c r="T149" s="403"/>
      <c r="X149" s="403"/>
      <c r="AB149" s="403"/>
      <c r="AF149" s="403"/>
      <c r="AJ149" s="403"/>
    </row>
    <row r="150" spans="4:36" x14ac:dyDescent="0.25">
      <c r="D150" s="403"/>
      <c r="H150" s="403"/>
      <c r="L150" s="403"/>
      <c r="P150" s="403"/>
      <c r="T150" s="403"/>
      <c r="X150" s="403"/>
      <c r="AB150" s="403"/>
      <c r="AF150" s="403"/>
      <c r="AJ150" s="403"/>
    </row>
    <row r="151" spans="4:36" x14ac:dyDescent="0.25">
      <c r="D151" s="403"/>
      <c r="H151" s="403"/>
      <c r="L151" s="403"/>
      <c r="P151" s="403"/>
      <c r="T151" s="403"/>
      <c r="X151" s="403"/>
      <c r="AB151" s="403"/>
      <c r="AF151" s="403"/>
      <c r="AJ151" s="403"/>
    </row>
    <row r="152" spans="4:36" x14ac:dyDescent="0.25">
      <c r="D152" s="403"/>
      <c r="H152" s="403"/>
      <c r="L152" s="403"/>
      <c r="P152" s="403"/>
      <c r="T152" s="403"/>
      <c r="X152" s="403"/>
      <c r="AB152" s="403"/>
      <c r="AF152" s="403"/>
      <c r="AJ152" s="403"/>
    </row>
    <row r="153" spans="4:36" x14ac:dyDescent="0.25">
      <c r="D153" s="403"/>
      <c r="H153" s="403"/>
      <c r="L153" s="403"/>
      <c r="P153" s="403"/>
      <c r="T153" s="403"/>
      <c r="X153" s="403"/>
      <c r="AB153" s="403"/>
      <c r="AF153" s="403"/>
      <c r="AJ153" s="403"/>
    </row>
    <row r="154" spans="4:36" x14ac:dyDescent="0.25">
      <c r="D154" s="403"/>
      <c r="H154" s="403"/>
      <c r="L154" s="403"/>
      <c r="P154" s="403"/>
      <c r="T154" s="403"/>
      <c r="X154" s="403"/>
      <c r="AB154" s="403"/>
      <c r="AF154" s="403"/>
      <c r="AJ154" s="403"/>
    </row>
    <row r="155" spans="4:36" x14ac:dyDescent="0.25">
      <c r="D155" s="403"/>
      <c r="H155" s="403"/>
      <c r="L155" s="403"/>
      <c r="P155" s="403"/>
      <c r="T155" s="403"/>
      <c r="X155" s="403"/>
      <c r="AB155" s="403"/>
      <c r="AF155" s="403"/>
      <c r="AJ155" s="403"/>
    </row>
    <row r="156" spans="4:36" x14ac:dyDescent="0.25">
      <c r="D156" s="403"/>
      <c r="H156" s="403"/>
      <c r="L156" s="403"/>
      <c r="P156" s="403"/>
      <c r="T156" s="403"/>
      <c r="X156" s="403"/>
      <c r="AB156" s="403"/>
      <c r="AF156" s="403"/>
      <c r="AJ156" s="403"/>
    </row>
    <row r="157" spans="4:36" x14ac:dyDescent="0.25">
      <c r="D157" s="403"/>
      <c r="H157" s="403"/>
      <c r="L157" s="403"/>
      <c r="P157" s="403"/>
      <c r="T157" s="403"/>
      <c r="X157" s="403"/>
      <c r="AB157" s="403"/>
      <c r="AF157" s="403"/>
      <c r="AJ157" s="403"/>
    </row>
    <row r="158" spans="4:36" x14ac:dyDescent="0.25">
      <c r="D158" s="403"/>
      <c r="H158" s="403"/>
      <c r="L158" s="403"/>
      <c r="P158" s="403"/>
      <c r="T158" s="403"/>
      <c r="X158" s="403"/>
      <c r="AB158" s="403"/>
      <c r="AF158" s="403"/>
      <c r="AJ158" s="403"/>
    </row>
    <row r="159" spans="4:36" x14ac:dyDescent="0.25">
      <c r="D159" s="403"/>
      <c r="H159" s="403"/>
      <c r="L159" s="403"/>
      <c r="P159" s="403"/>
      <c r="T159" s="403"/>
      <c r="X159" s="403"/>
      <c r="AB159" s="403"/>
      <c r="AF159" s="403"/>
      <c r="AJ159" s="403"/>
    </row>
    <row r="160" spans="4:36" x14ac:dyDescent="0.25">
      <c r="D160" s="403"/>
      <c r="H160" s="403"/>
      <c r="L160" s="403"/>
      <c r="P160" s="403"/>
      <c r="T160" s="403"/>
      <c r="X160" s="403"/>
      <c r="AB160" s="403"/>
      <c r="AF160" s="403"/>
      <c r="AJ160" s="403"/>
    </row>
    <row r="161" spans="4:36" x14ac:dyDescent="0.25">
      <c r="D161" s="403"/>
      <c r="H161" s="403"/>
      <c r="L161" s="403"/>
      <c r="P161" s="403"/>
      <c r="T161" s="403"/>
      <c r="X161" s="403"/>
      <c r="AB161" s="403"/>
      <c r="AF161" s="403"/>
      <c r="AJ161" s="403"/>
    </row>
    <row r="162" spans="4:36" x14ac:dyDescent="0.25">
      <c r="D162" s="403"/>
      <c r="H162" s="403"/>
      <c r="L162" s="403"/>
      <c r="P162" s="403"/>
      <c r="T162" s="403"/>
      <c r="X162" s="403"/>
      <c r="AB162" s="403"/>
      <c r="AF162" s="403"/>
      <c r="AJ162" s="403"/>
    </row>
    <row r="163" spans="4:36" x14ac:dyDescent="0.25">
      <c r="D163" s="403"/>
      <c r="H163" s="403"/>
      <c r="L163" s="403"/>
      <c r="P163" s="403"/>
      <c r="T163" s="403"/>
      <c r="X163" s="403"/>
      <c r="AB163" s="403"/>
      <c r="AF163" s="403"/>
      <c r="AJ163" s="403"/>
    </row>
    <row r="164" spans="4:36" x14ac:dyDescent="0.25">
      <c r="D164" s="403"/>
      <c r="H164" s="403"/>
      <c r="L164" s="403"/>
      <c r="P164" s="403"/>
      <c r="T164" s="403"/>
      <c r="X164" s="403"/>
      <c r="AB164" s="403"/>
      <c r="AF164" s="403"/>
      <c r="AJ164" s="403"/>
    </row>
    <row r="165" spans="4:36" x14ac:dyDescent="0.25">
      <c r="D165" s="403"/>
      <c r="H165" s="403"/>
      <c r="L165" s="403"/>
      <c r="P165" s="403"/>
      <c r="T165" s="403"/>
      <c r="X165" s="403"/>
      <c r="AB165" s="403"/>
      <c r="AF165" s="403"/>
      <c r="AJ165" s="403"/>
    </row>
    <row r="166" spans="4:36" x14ac:dyDescent="0.25">
      <c r="D166" s="403"/>
      <c r="H166" s="403"/>
      <c r="L166" s="403"/>
      <c r="P166" s="403"/>
      <c r="T166" s="403"/>
      <c r="X166" s="403"/>
      <c r="AB166" s="403"/>
      <c r="AF166" s="403"/>
      <c r="AJ166" s="403"/>
    </row>
    <row r="167" spans="4:36" x14ac:dyDescent="0.25">
      <c r="D167" s="403"/>
      <c r="H167" s="403"/>
      <c r="L167" s="403"/>
      <c r="P167" s="403"/>
      <c r="T167" s="403"/>
      <c r="X167" s="403"/>
      <c r="AB167" s="403"/>
      <c r="AF167" s="403"/>
      <c r="AJ167" s="403"/>
    </row>
    <row r="168" spans="4:36" x14ac:dyDescent="0.25">
      <c r="D168" s="403"/>
      <c r="H168" s="403"/>
      <c r="L168" s="403"/>
      <c r="P168" s="403"/>
      <c r="T168" s="403"/>
      <c r="X168" s="403"/>
      <c r="AB168" s="403"/>
      <c r="AF168" s="403"/>
      <c r="AJ168" s="403"/>
    </row>
    <row r="169" spans="4:36" x14ac:dyDescent="0.25">
      <c r="D169" s="403"/>
      <c r="H169" s="403"/>
      <c r="L169" s="403"/>
      <c r="P169" s="403"/>
      <c r="T169" s="403"/>
      <c r="X169" s="403"/>
      <c r="AB169" s="403"/>
      <c r="AF169" s="403"/>
      <c r="AJ169" s="403"/>
    </row>
    <row r="170" spans="4:36" x14ac:dyDescent="0.25">
      <c r="D170" s="403"/>
      <c r="H170" s="403"/>
      <c r="L170" s="403"/>
      <c r="P170" s="403"/>
      <c r="T170" s="403"/>
      <c r="X170" s="403"/>
      <c r="AB170" s="403"/>
      <c r="AF170" s="403"/>
      <c r="AJ170" s="403"/>
    </row>
    <row r="171" spans="4:36" x14ac:dyDescent="0.25">
      <c r="D171" s="403"/>
      <c r="H171" s="403"/>
      <c r="L171" s="403"/>
      <c r="P171" s="403"/>
      <c r="T171" s="403"/>
      <c r="X171" s="403"/>
      <c r="AB171" s="403"/>
      <c r="AF171" s="403"/>
      <c r="AJ171" s="403"/>
    </row>
    <row r="172" spans="4:36" x14ac:dyDescent="0.25">
      <c r="D172" s="403"/>
      <c r="H172" s="403"/>
      <c r="L172" s="403"/>
      <c r="P172" s="403"/>
      <c r="T172" s="403"/>
      <c r="X172" s="403"/>
      <c r="AB172" s="403"/>
      <c r="AF172" s="403"/>
      <c r="AJ172" s="403"/>
    </row>
    <row r="173" spans="4:36" x14ac:dyDescent="0.25">
      <c r="D173" s="403"/>
      <c r="H173" s="403"/>
      <c r="L173" s="403"/>
      <c r="P173" s="403"/>
      <c r="T173" s="403"/>
      <c r="X173" s="403"/>
      <c r="AB173" s="403"/>
      <c r="AF173" s="403"/>
      <c r="AJ173" s="403"/>
    </row>
    <row r="174" spans="4:36" x14ac:dyDescent="0.25">
      <c r="D174" s="403"/>
      <c r="H174" s="403"/>
      <c r="L174" s="403"/>
      <c r="P174" s="403"/>
      <c r="T174" s="403"/>
      <c r="X174" s="403"/>
      <c r="AB174" s="403"/>
      <c r="AF174" s="403"/>
      <c r="AJ174" s="403"/>
    </row>
    <row r="175" spans="4:36" x14ac:dyDescent="0.25">
      <c r="D175" s="403"/>
      <c r="H175" s="403"/>
      <c r="L175" s="403"/>
      <c r="P175" s="403"/>
      <c r="T175" s="403"/>
      <c r="X175" s="403"/>
      <c r="AB175" s="403"/>
      <c r="AF175" s="403"/>
      <c r="AJ175" s="403"/>
    </row>
    <row r="176" spans="4:36" x14ac:dyDescent="0.25">
      <c r="D176" s="403"/>
      <c r="H176" s="403"/>
      <c r="L176" s="403"/>
      <c r="P176" s="403"/>
      <c r="T176" s="403"/>
      <c r="X176" s="403"/>
      <c r="AB176" s="403"/>
      <c r="AF176" s="403"/>
      <c r="AJ176" s="403"/>
    </row>
    <row r="177" spans="4:36" x14ac:dyDescent="0.25">
      <c r="D177" s="403"/>
      <c r="H177" s="403"/>
      <c r="L177" s="403"/>
      <c r="P177" s="403"/>
      <c r="T177" s="403"/>
      <c r="X177" s="403"/>
      <c r="AB177" s="403"/>
      <c r="AF177" s="403"/>
      <c r="AJ177" s="403"/>
    </row>
    <row r="178" spans="4:36" x14ac:dyDescent="0.25">
      <c r="D178" s="403"/>
      <c r="H178" s="403"/>
      <c r="L178" s="403"/>
      <c r="P178" s="403"/>
      <c r="T178" s="403"/>
      <c r="X178" s="403"/>
      <c r="AB178" s="403"/>
      <c r="AF178" s="403"/>
      <c r="AJ178" s="403"/>
    </row>
    <row r="179" spans="4:36" x14ac:dyDescent="0.25">
      <c r="D179" s="403"/>
      <c r="H179" s="403"/>
      <c r="L179" s="403"/>
      <c r="P179" s="403"/>
      <c r="T179" s="403"/>
      <c r="X179" s="403"/>
      <c r="AB179" s="403"/>
      <c r="AF179" s="403"/>
      <c r="AJ179" s="403"/>
    </row>
    <row r="180" spans="4:36" x14ac:dyDescent="0.25">
      <c r="D180" s="403"/>
      <c r="H180" s="403"/>
      <c r="L180" s="403"/>
      <c r="P180" s="403"/>
      <c r="T180" s="403"/>
      <c r="X180" s="403"/>
      <c r="AB180" s="403"/>
      <c r="AF180" s="403"/>
      <c r="AJ180" s="403"/>
    </row>
    <row r="181" spans="4:36" x14ac:dyDescent="0.25">
      <c r="D181" s="403"/>
      <c r="H181" s="403"/>
      <c r="L181" s="403"/>
      <c r="P181" s="403"/>
      <c r="T181" s="403"/>
      <c r="X181" s="403"/>
      <c r="AB181" s="403"/>
      <c r="AF181" s="403"/>
      <c r="AJ181" s="403"/>
    </row>
    <row r="182" spans="4:36" x14ac:dyDescent="0.25">
      <c r="D182" s="403"/>
      <c r="H182" s="403"/>
      <c r="L182" s="403"/>
      <c r="P182" s="403"/>
      <c r="T182" s="403"/>
      <c r="X182" s="403"/>
      <c r="AB182" s="403"/>
      <c r="AF182" s="403"/>
      <c r="AJ182" s="403"/>
    </row>
    <row r="183" spans="4:36" x14ac:dyDescent="0.25">
      <c r="D183" s="403"/>
      <c r="H183" s="403"/>
      <c r="L183" s="403"/>
      <c r="P183" s="403"/>
      <c r="T183" s="403"/>
      <c r="X183" s="403"/>
      <c r="AB183" s="403"/>
      <c r="AF183" s="403"/>
      <c r="AJ183" s="403"/>
    </row>
    <row r="184" spans="4:36" x14ac:dyDescent="0.25">
      <c r="D184" s="403"/>
      <c r="H184" s="403"/>
      <c r="L184" s="403"/>
      <c r="P184" s="403"/>
      <c r="T184" s="403"/>
      <c r="X184" s="403"/>
      <c r="AB184" s="403"/>
      <c r="AF184" s="403"/>
      <c r="AJ184" s="403"/>
    </row>
    <row r="185" spans="4:36" x14ac:dyDescent="0.25">
      <c r="D185" s="403"/>
      <c r="H185" s="403"/>
      <c r="L185" s="403"/>
      <c r="P185" s="403"/>
      <c r="T185" s="403"/>
      <c r="X185" s="403"/>
      <c r="AB185" s="403"/>
      <c r="AF185" s="403"/>
      <c r="AJ185" s="403"/>
    </row>
    <row r="186" spans="4:36" x14ac:dyDescent="0.25">
      <c r="D186" s="403"/>
      <c r="H186" s="403"/>
      <c r="L186" s="403"/>
      <c r="P186" s="403"/>
      <c r="T186" s="403"/>
      <c r="X186" s="403"/>
      <c r="AB186" s="403"/>
      <c r="AF186" s="403"/>
      <c r="AJ186" s="403"/>
    </row>
    <row r="187" spans="4:36" x14ac:dyDescent="0.25">
      <c r="D187" s="403"/>
      <c r="H187" s="403"/>
      <c r="L187" s="403"/>
      <c r="P187" s="403"/>
      <c r="T187" s="403"/>
      <c r="X187" s="403"/>
      <c r="AB187" s="403"/>
      <c r="AF187" s="403"/>
      <c r="AJ187" s="403"/>
    </row>
    <row r="188" spans="4:36" x14ac:dyDescent="0.25">
      <c r="D188" s="403"/>
      <c r="H188" s="403"/>
      <c r="L188" s="403"/>
      <c r="P188" s="403"/>
      <c r="T188" s="403"/>
      <c r="X188" s="403"/>
      <c r="AB188" s="403"/>
      <c r="AF188" s="403"/>
      <c r="AJ188" s="403"/>
    </row>
    <row r="189" spans="4:36" x14ac:dyDescent="0.25">
      <c r="D189" s="403"/>
      <c r="H189" s="403"/>
      <c r="L189" s="403"/>
      <c r="P189" s="403"/>
      <c r="T189" s="403"/>
      <c r="X189" s="403"/>
      <c r="AB189" s="403"/>
      <c r="AF189" s="403"/>
      <c r="AJ189" s="403"/>
    </row>
    <row r="190" spans="4:36" x14ac:dyDescent="0.25">
      <c r="D190" s="403"/>
      <c r="H190" s="403"/>
      <c r="L190" s="403"/>
      <c r="P190" s="403"/>
      <c r="T190" s="403"/>
      <c r="X190" s="403"/>
      <c r="AB190" s="403"/>
      <c r="AF190" s="403"/>
      <c r="AJ190" s="403"/>
    </row>
    <row r="191" spans="4:36" x14ac:dyDescent="0.25">
      <c r="D191" s="403"/>
      <c r="H191" s="403"/>
      <c r="L191" s="403"/>
      <c r="P191" s="403"/>
      <c r="T191" s="403"/>
      <c r="X191" s="403"/>
      <c r="AB191" s="403"/>
      <c r="AF191" s="403"/>
      <c r="AJ191" s="403"/>
    </row>
    <row r="192" spans="4:36" x14ac:dyDescent="0.25">
      <c r="D192" s="403"/>
      <c r="H192" s="403"/>
      <c r="L192" s="403"/>
      <c r="P192" s="403"/>
      <c r="T192" s="403"/>
      <c r="X192" s="403"/>
      <c r="AB192" s="403"/>
      <c r="AF192" s="403"/>
      <c r="AJ192" s="403"/>
    </row>
    <row r="193" spans="4:36" x14ac:dyDescent="0.25">
      <c r="D193" s="403"/>
      <c r="H193" s="403"/>
      <c r="L193" s="403"/>
      <c r="P193" s="403"/>
      <c r="T193" s="403"/>
      <c r="X193" s="403"/>
      <c r="AB193" s="403"/>
      <c r="AF193" s="403"/>
      <c r="AJ193" s="403"/>
    </row>
    <row r="194" spans="4:36" x14ac:dyDescent="0.25">
      <c r="D194" s="403"/>
      <c r="H194" s="403"/>
      <c r="L194" s="403"/>
      <c r="P194" s="403"/>
      <c r="T194" s="403"/>
      <c r="X194" s="403"/>
      <c r="AB194" s="403"/>
      <c r="AF194" s="403"/>
      <c r="AJ194" s="403"/>
    </row>
    <row r="195" spans="4:36" x14ac:dyDescent="0.25">
      <c r="D195" s="403"/>
      <c r="H195" s="403"/>
      <c r="L195" s="403"/>
      <c r="P195" s="403"/>
      <c r="T195" s="403"/>
      <c r="X195" s="403"/>
      <c r="AB195" s="403"/>
      <c r="AF195" s="403"/>
      <c r="AJ195" s="403"/>
    </row>
    <row r="196" spans="4:36" x14ac:dyDescent="0.25">
      <c r="D196" s="403"/>
      <c r="H196" s="403"/>
      <c r="L196" s="403"/>
      <c r="P196" s="403"/>
      <c r="T196" s="403"/>
      <c r="X196" s="403"/>
      <c r="AB196" s="403"/>
      <c r="AF196" s="403"/>
      <c r="AJ196" s="403"/>
    </row>
    <row r="197" spans="4:36" x14ac:dyDescent="0.25">
      <c r="D197" s="403"/>
      <c r="H197" s="403"/>
      <c r="L197" s="403"/>
      <c r="P197" s="403"/>
      <c r="T197" s="403"/>
      <c r="X197" s="403"/>
      <c r="AB197" s="403"/>
      <c r="AF197" s="403"/>
      <c r="AJ197" s="403"/>
    </row>
    <row r="198" spans="4:36" x14ac:dyDescent="0.25">
      <c r="D198" s="403"/>
      <c r="H198" s="403"/>
      <c r="L198" s="403"/>
      <c r="P198" s="403"/>
      <c r="T198" s="403"/>
      <c r="X198" s="403"/>
      <c r="AB198" s="403"/>
      <c r="AF198" s="403"/>
      <c r="AJ198" s="403"/>
    </row>
    <row r="199" spans="4:36" x14ac:dyDescent="0.25">
      <c r="D199" s="403"/>
      <c r="H199" s="403"/>
      <c r="L199" s="403"/>
      <c r="P199" s="403"/>
      <c r="T199" s="403"/>
      <c r="X199" s="403"/>
      <c r="AB199" s="403"/>
      <c r="AF199" s="403"/>
      <c r="AJ199" s="403"/>
    </row>
    <row r="200" spans="4:36" x14ac:dyDescent="0.25">
      <c r="D200" s="403"/>
      <c r="H200" s="403"/>
      <c r="L200" s="403"/>
      <c r="P200" s="403"/>
      <c r="T200" s="403"/>
      <c r="X200" s="403"/>
      <c r="AB200" s="403"/>
      <c r="AF200" s="403"/>
      <c r="AJ200" s="403"/>
    </row>
    <row r="201" spans="4:36" x14ac:dyDescent="0.25">
      <c r="D201" s="403"/>
      <c r="H201" s="403"/>
      <c r="L201" s="403"/>
      <c r="P201" s="403"/>
      <c r="T201" s="403"/>
      <c r="X201" s="403"/>
      <c r="AB201" s="403"/>
      <c r="AF201" s="403"/>
      <c r="AJ201" s="403"/>
    </row>
    <row r="202" spans="4:36" x14ac:dyDescent="0.25">
      <c r="D202" s="403"/>
      <c r="H202" s="403"/>
      <c r="L202" s="403"/>
      <c r="P202" s="403"/>
      <c r="T202" s="403"/>
      <c r="X202" s="403"/>
      <c r="AB202" s="403"/>
      <c r="AF202" s="403"/>
      <c r="AJ202" s="403"/>
    </row>
    <row r="203" spans="4:36" x14ac:dyDescent="0.25">
      <c r="D203" s="403"/>
      <c r="H203" s="403"/>
      <c r="L203" s="403"/>
      <c r="P203" s="403"/>
      <c r="T203" s="403"/>
      <c r="X203" s="403"/>
      <c r="AB203" s="403"/>
      <c r="AF203" s="403"/>
      <c r="AJ203" s="403"/>
    </row>
    <row r="204" spans="4:36" x14ac:dyDescent="0.25">
      <c r="D204" s="403"/>
      <c r="H204" s="403"/>
      <c r="L204" s="403"/>
      <c r="P204" s="403"/>
      <c r="T204" s="403"/>
      <c r="X204" s="403"/>
      <c r="AB204" s="403"/>
      <c r="AF204" s="403"/>
      <c r="AJ204" s="403"/>
    </row>
    <row r="205" spans="4:36" x14ac:dyDescent="0.25">
      <c r="D205" s="403"/>
      <c r="H205" s="403"/>
      <c r="L205" s="403"/>
      <c r="P205" s="403"/>
      <c r="T205" s="403"/>
      <c r="X205" s="403"/>
      <c r="AB205" s="403"/>
      <c r="AF205" s="403"/>
      <c r="AJ205" s="403"/>
    </row>
    <row r="206" spans="4:36" x14ac:dyDescent="0.25">
      <c r="D206" s="403"/>
      <c r="H206" s="403"/>
      <c r="L206" s="403"/>
      <c r="P206" s="403"/>
      <c r="T206" s="403"/>
      <c r="X206" s="403"/>
      <c r="AB206" s="403"/>
      <c r="AF206" s="403"/>
      <c r="AJ206" s="403"/>
    </row>
    <row r="207" spans="4:36" x14ac:dyDescent="0.25">
      <c r="D207" s="403"/>
      <c r="H207" s="403"/>
      <c r="L207" s="403"/>
      <c r="P207" s="403"/>
      <c r="T207" s="403"/>
      <c r="X207" s="403"/>
      <c r="AB207" s="403"/>
      <c r="AF207" s="403"/>
      <c r="AJ207" s="403"/>
    </row>
    <row r="208" spans="4:36" x14ac:dyDescent="0.25">
      <c r="D208" s="403"/>
      <c r="H208" s="403"/>
      <c r="L208" s="403"/>
      <c r="P208" s="403"/>
      <c r="T208" s="403"/>
      <c r="X208" s="403"/>
      <c r="AB208" s="403"/>
      <c r="AF208" s="403"/>
      <c r="AJ208" s="403"/>
    </row>
    <row r="209" spans="4:36" x14ac:dyDescent="0.25">
      <c r="D209" s="403"/>
      <c r="H209" s="403"/>
      <c r="L209" s="403"/>
      <c r="P209" s="403"/>
      <c r="T209" s="403"/>
      <c r="X209" s="403"/>
      <c r="AB209" s="403"/>
      <c r="AF209" s="403"/>
      <c r="AJ209" s="403"/>
    </row>
    <row r="210" spans="4:36" x14ac:dyDescent="0.25">
      <c r="D210" s="403"/>
      <c r="H210" s="403"/>
      <c r="L210" s="403"/>
      <c r="P210" s="403"/>
      <c r="T210" s="403"/>
      <c r="X210" s="403"/>
      <c r="AB210" s="403"/>
      <c r="AF210" s="403"/>
      <c r="AJ210" s="403"/>
    </row>
    <row r="211" spans="4:36" x14ac:dyDescent="0.25">
      <c r="D211" s="403"/>
      <c r="H211" s="403"/>
      <c r="L211" s="403"/>
      <c r="P211" s="403"/>
      <c r="T211" s="403"/>
      <c r="X211" s="403"/>
      <c r="AB211" s="403"/>
      <c r="AF211" s="403"/>
      <c r="AJ211" s="403"/>
    </row>
    <row r="212" spans="4:36" x14ac:dyDescent="0.25">
      <c r="D212" s="403"/>
      <c r="H212" s="403"/>
      <c r="L212" s="403"/>
      <c r="P212" s="403"/>
      <c r="T212" s="403"/>
      <c r="X212" s="403"/>
      <c r="AB212" s="403"/>
      <c r="AF212" s="403"/>
      <c r="AJ212" s="403"/>
    </row>
    <row r="213" spans="4:36" x14ac:dyDescent="0.25">
      <c r="D213" s="403"/>
      <c r="H213" s="403"/>
      <c r="L213" s="403"/>
      <c r="P213" s="403"/>
      <c r="T213" s="403"/>
      <c r="X213" s="403"/>
      <c r="AB213" s="403"/>
      <c r="AF213" s="403"/>
      <c r="AJ213" s="403"/>
    </row>
    <row r="214" spans="4:36" x14ac:dyDescent="0.25">
      <c r="D214" s="403"/>
      <c r="H214" s="403"/>
      <c r="L214" s="403"/>
      <c r="P214" s="403"/>
      <c r="T214" s="403"/>
      <c r="X214" s="403"/>
      <c r="AB214" s="403"/>
      <c r="AF214" s="403"/>
      <c r="AJ214" s="403"/>
    </row>
    <row r="215" spans="4:36" x14ac:dyDescent="0.25">
      <c r="D215" s="403"/>
      <c r="H215" s="403"/>
      <c r="L215" s="403"/>
      <c r="P215" s="403"/>
      <c r="T215" s="403"/>
      <c r="X215" s="403"/>
      <c r="AB215" s="403"/>
      <c r="AF215" s="403"/>
      <c r="AJ215" s="403"/>
    </row>
    <row r="216" spans="4:36" x14ac:dyDescent="0.25">
      <c r="D216" s="403"/>
      <c r="H216" s="403"/>
      <c r="L216" s="403"/>
      <c r="P216" s="403"/>
      <c r="T216" s="403"/>
      <c r="X216" s="403"/>
      <c r="AB216" s="403"/>
      <c r="AF216" s="403"/>
      <c r="AJ216" s="403"/>
    </row>
    <row r="217" spans="4:36" x14ac:dyDescent="0.25">
      <c r="D217" s="403"/>
      <c r="H217" s="403"/>
      <c r="L217" s="403"/>
      <c r="P217" s="403"/>
      <c r="T217" s="403"/>
      <c r="X217" s="403"/>
      <c r="AB217" s="403"/>
      <c r="AF217" s="403"/>
      <c r="AJ217" s="403"/>
    </row>
    <row r="218" spans="4:36" x14ac:dyDescent="0.25">
      <c r="D218" s="403"/>
      <c r="H218" s="403"/>
      <c r="L218" s="403"/>
      <c r="P218" s="403"/>
      <c r="T218" s="403"/>
      <c r="X218" s="403"/>
      <c r="AB218" s="403"/>
      <c r="AF218" s="403"/>
      <c r="AJ218" s="403"/>
    </row>
    <row r="219" spans="4:36" x14ac:dyDescent="0.25">
      <c r="D219" s="403"/>
      <c r="H219" s="403"/>
      <c r="L219" s="403"/>
      <c r="P219" s="403"/>
      <c r="T219" s="403"/>
      <c r="X219" s="403"/>
      <c r="AB219" s="403"/>
      <c r="AF219" s="403"/>
      <c r="AJ219" s="403"/>
    </row>
    <row r="220" spans="4:36" x14ac:dyDescent="0.25">
      <c r="D220" s="403"/>
      <c r="H220" s="403"/>
      <c r="L220" s="403"/>
      <c r="P220" s="403"/>
      <c r="T220" s="403"/>
      <c r="X220" s="403"/>
      <c r="AB220" s="403"/>
      <c r="AF220" s="403"/>
      <c r="AJ220" s="403"/>
    </row>
    <row r="221" spans="4:36" x14ac:dyDescent="0.25">
      <c r="D221" s="403"/>
      <c r="H221" s="403"/>
      <c r="L221" s="403"/>
      <c r="P221" s="403"/>
      <c r="T221" s="403"/>
      <c r="X221" s="403"/>
      <c r="AB221" s="403"/>
      <c r="AF221" s="403"/>
      <c r="AJ221" s="403"/>
    </row>
    <row r="222" spans="4:36" x14ac:dyDescent="0.25">
      <c r="D222" s="403"/>
      <c r="H222" s="403"/>
      <c r="L222" s="403"/>
      <c r="P222" s="403"/>
      <c r="T222" s="403"/>
      <c r="X222" s="403"/>
      <c r="AB222" s="403"/>
      <c r="AF222" s="403"/>
      <c r="AJ222" s="403"/>
    </row>
    <row r="223" spans="4:36" x14ac:dyDescent="0.25">
      <c r="D223" s="403"/>
      <c r="H223" s="403"/>
      <c r="L223" s="403"/>
      <c r="P223" s="403"/>
      <c r="T223" s="403"/>
      <c r="X223" s="403"/>
      <c r="AB223" s="403"/>
      <c r="AF223" s="403"/>
      <c r="AJ223" s="403"/>
    </row>
    <row r="224" spans="4:36" x14ac:dyDescent="0.25">
      <c r="D224" s="403"/>
      <c r="H224" s="403"/>
      <c r="L224" s="403"/>
      <c r="P224" s="403"/>
      <c r="T224" s="403"/>
      <c r="X224" s="403"/>
      <c r="AB224" s="403"/>
      <c r="AF224" s="403"/>
      <c r="AJ224" s="403"/>
    </row>
    <row r="225" spans="4:36" x14ac:dyDescent="0.25">
      <c r="D225" s="403"/>
      <c r="H225" s="403"/>
      <c r="L225" s="403"/>
      <c r="P225" s="403"/>
      <c r="T225" s="403"/>
      <c r="X225" s="403"/>
      <c r="AB225" s="403"/>
      <c r="AF225" s="403"/>
      <c r="AJ225" s="403"/>
    </row>
    <row r="226" spans="4:36" x14ac:dyDescent="0.25">
      <c r="D226" s="403"/>
      <c r="H226" s="403"/>
      <c r="L226" s="403"/>
      <c r="P226" s="403"/>
      <c r="T226" s="403"/>
      <c r="X226" s="403"/>
      <c r="AB226" s="403"/>
      <c r="AF226" s="403"/>
      <c r="AJ226" s="403"/>
    </row>
    <row r="227" spans="4:36" x14ac:dyDescent="0.25">
      <c r="D227" s="403"/>
      <c r="H227" s="403"/>
      <c r="L227" s="403"/>
      <c r="P227" s="403"/>
      <c r="T227" s="403"/>
      <c r="X227" s="403"/>
      <c r="AB227" s="403"/>
      <c r="AF227" s="403"/>
      <c r="AJ227" s="403"/>
    </row>
    <row r="228" spans="4:36" x14ac:dyDescent="0.25">
      <c r="D228" s="403"/>
      <c r="H228" s="403"/>
      <c r="L228" s="403"/>
      <c r="P228" s="403"/>
      <c r="T228" s="403"/>
      <c r="X228" s="403"/>
      <c r="AB228" s="403"/>
      <c r="AF228" s="403"/>
      <c r="AJ228" s="403"/>
    </row>
    <row r="229" spans="4:36" x14ac:dyDescent="0.25">
      <c r="D229" s="403"/>
      <c r="H229" s="403"/>
      <c r="L229" s="403"/>
      <c r="P229" s="403"/>
      <c r="T229" s="403"/>
      <c r="X229" s="403"/>
      <c r="AB229" s="403"/>
      <c r="AF229" s="403"/>
      <c r="AJ229" s="403"/>
    </row>
    <row r="230" spans="4:36" x14ac:dyDescent="0.25">
      <c r="D230" s="403"/>
      <c r="H230" s="403"/>
      <c r="L230" s="403"/>
      <c r="P230" s="403"/>
      <c r="T230" s="403"/>
      <c r="X230" s="403"/>
      <c r="AB230" s="403"/>
      <c r="AF230" s="403"/>
      <c r="AJ230" s="403"/>
    </row>
    <row r="231" spans="4:36" x14ac:dyDescent="0.25">
      <c r="D231" s="403"/>
      <c r="H231" s="403"/>
      <c r="L231" s="403"/>
      <c r="P231" s="403"/>
      <c r="T231" s="403"/>
      <c r="X231" s="403"/>
      <c r="AB231" s="403"/>
      <c r="AF231" s="403"/>
      <c r="AJ231" s="403"/>
    </row>
    <row r="232" spans="4:36" x14ac:dyDescent="0.25">
      <c r="D232" s="403"/>
      <c r="H232" s="403"/>
      <c r="L232" s="403"/>
      <c r="P232" s="403"/>
      <c r="T232" s="403"/>
      <c r="X232" s="403"/>
      <c r="AB232" s="403"/>
      <c r="AF232" s="403"/>
      <c r="AJ232" s="403"/>
    </row>
    <row r="233" spans="4:36" x14ac:dyDescent="0.25">
      <c r="D233" s="403"/>
      <c r="H233" s="403"/>
      <c r="L233" s="403"/>
      <c r="P233" s="403"/>
      <c r="T233" s="403"/>
      <c r="X233" s="403"/>
      <c r="AB233" s="403"/>
      <c r="AF233" s="403"/>
      <c r="AJ233" s="403"/>
    </row>
    <row r="234" spans="4:36" x14ac:dyDescent="0.25">
      <c r="D234" s="403"/>
      <c r="H234" s="403"/>
      <c r="L234" s="403"/>
      <c r="P234" s="403"/>
      <c r="T234" s="403"/>
      <c r="X234" s="403"/>
      <c r="AB234" s="403"/>
      <c r="AF234" s="403"/>
      <c r="AJ234" s="403"/>
    </row>
    <row r="235" spans="4:36" x14ac:dyDescent="0.25">
      <c r="D235" s="403"/>
      <c r="H235" s="403"/>
      <c r="L235" s="403"/>
      <c r="P235" s="403"/>
      <c r="T235" s="403"/>
      <c r="X235" s="403"/>
      <c r="AB235" s="403"/>
      <c r="AF235" s="403"/>
      <c r="AJ235" s="403"/>
    </row>
    <row r="236" spans="4:36" x14ac:dyDescent="0.25">
      <c r="D236" s="403"/>
      <c r="H236" s="403"/>
      <c r="L236" s="403"/>
      <c r="P236" s="403"/>
      <c r="T236" s="403"/>
      <c r="X236" s="403"/>
      <c r="AB236" s="403"/>
      <c r="AF236" s="403"/>
      <c r="AJ236" s="403"/>
    </row>
    <row r="237" spans="4:36" x14ac:dyDescent="0.25">
      <c r="D237" s="403"/>
      <c r="H237" s="403"/>
      <c r="L237" s="403"/>
      <c r="P237" s="403"/>
      <c r="T237" s="403"/>
      <c r="X237" s="403"/>
      <c r="AB237" s="403"/>
      <c r="AF237" s="403"/>
      <c r="AJ237" s="403"/>
    </row>
    <row r="238" spans="4:36" x14ac:dyDescent="0.25">
      <c r="D238" s="403"/>
      <c r="H238" s="403"/>
      <c r="L238" s="403"/>
      <c r="P238" s="403"/>
      <c r="T238" s="403"/>
      <c r="X238" s="403"/>
      <c r="AB238" s="403"/>
      <c r="AF238" s="403"/>
      <c r="AJ238" s="403"/>
    </row>
    <row r="239" spans="4:36" x14ac:dyDescent="0.25">
      <c r="D239" s="403"/>
      <c r="H239" s="403"/>
      <c r="L239" s="403"/>
      <c r="P239" s="403"/>
      <c r="T239" s="403"/>
      <c r="X239" s="403"/>
      <c r="AB239" s="403"/>
      <c r="AF239" s="403"/>
      <c r="AJ239" s="403"/>
    </row>
    <row r="240" spans="4:36" x14ac:dyDescent="0.25">
      <c r="D240" s="403"/>
      <c r="H240" s="403"/>
      <c r="L240" s="403"/>
      <c r="P240" s="403"/>
      <c r="T240" s="403"/>
      <c r="X240" s="403"/>
      <c r="AB240" s="403"/>
      <c r="AF240" s="403"/>
      <c r="AJ240" s="403"/>
    </row>
    <row r="241" spans="4:36" x14ac:dyDescent="0.25">
      <c r="D241" s="403"/>
      <c r="H241" s="403"/>
      <c r="L241" s="403"/>
      <c r="P241" s="403"/>
      <c r="T241" s="403"/>
      <c r="X241" s="403"/>
      <c r="AB241" s="403"/>
      <c r="AF241" s="403"/>
      <c r="AJ241" s="403"/>
    </row>
    <row r="242" spans="4:36" x14ac:dyDescent="0.25">
      <c r="D242" s="403"/>
      <c r="H242" s="403"/>
      <c r="L242" s="403"/>
      <c r="P242" s="403"/>
      <c r="T242" s="403"/>
      <c r="X242" s="403"/>
      <c r="AB242" s="403"/>
      <c r="AF242" s="403"/>
      <c r="AJ242" s="403"/>
    </row>
    <row r="243" spans="4:36" x14ac:dyDescent="0.25">
      <c r="D243" s="403"/>
      <c r="H243" s="403"/>
      <c r="L243" s="403"/>
      <c r="P243" s="403"/>
      <c r="T243" s="403"/>
      <c r="X243" s="403"/>
      <c r="AB243" s="403"/>
      <c r="AF243" s="403"/>
      <c r="AJ243" s="403"/>
    </row>
    <row r="244" spans="4:36" x14ac:dyDescent="0.25">
      <c r="D244" s="403"/>
      <c r="H244" s="403"/>
      <c r="L244" s="403"/>
      <c r="P244" s="403"/>
      <c r="T244" s="403"/>
      <c r="X244" s="403"/>
      <c r="AB244" s="403"/>
      <c r="AF244" s="403"/>
      <c r="AJ244" s="403"/>
    </row>
    <row r="245" spans="4:36" x14ac:dyDescent="0.25">
      <c r="D245" s="403"/>
      <c r="H245" s="403"/>
      <c r="L245" s="403"/>
      <c r="P245" s="403"/>
      <c r="T245" s="403"/>
      <c r="X245" s="403"/>
      <c r="AB245" s="403"/>
      <c r="AF245" s="403"/>
      <c r="AJ245" s="403"/>
    </row>
    <row r="246" spans="4:36" x14ac:dyDescent="0.25">
      <c r="D246" s="403"/>
      <c r="H246" s="403"/>
      <c r="L246" s="403"/>
      <c r="P246" s="403"/>
      <c r="T246" s="403"/>
      <c r="X246" s="403"/>
      <c r="AB246" s="403"/>
      <c r="AF246" s="403"/>
      <c r="AJ246" s="403"/>
    </row>
    <row r="247" spans="4:36" x14ac:dyDescent="0.25">
      <c r="D247" s="403"/>
      <c r="H247" s="403"/>
      <c r="L247" s="403"/>
      <c r="P247" s="403"/>
      <c r="T247" s="403"/>
      <c r="X247" s="403"/>
      <c r="AB247" s="403"/>
      <c r="AF247" s="403"/>
      <c r="AJ247" s="403"/>
    </row>
    <row r="248" spans="4:36" x14ac:dyDescent="0.25">
      <c r="D248" s="403"/>
      <c r="H248" s="403"/>
      <c r="L248" s="403"/>
      <c r="P248" s="403"/>
      <c r="T248" s="403"/>
      <c r="X248" s="403"/>
      <c r="AB248" s="403"/>
      <c r="AF248" s="403"/>
      <c r="AJ248" s="403"/>
    </row>
    <row r="249" spans="4:36" x14ac:dyDescent="0.25">
      <c r="D249" s="403"/>
      <c r="H249" s="403"/>
      <c r="L249" s="403"/>
      <c r="P249" s="403"/>
      <c r="T249" s="403"/>
      <c r="X249" s="403"/>
      <c r="AB249" s="403"/>
      <c r="AF249" s="403"/>
      <c r="AJ249" s="403"/>
    </row>
    <row r="250" spans="4:36" x14ac:dyDescent="0.25">
      <c r="D250" s="403"/>
      <c r="H250" s="403"/>
      <c r="L250" s="403"/>
      <c r="P250" s="403"/>
      <c r="T250" s="403"/>
      <c r="X250" s="403"/>
      <c r="AB250" s="403"/>
      <c r="AF250" s="403"/>
      <c r="AJ250" s="403"/>
    </row>
    <row r="251" spans="4:36" x14ac:dyDescent="0.25">
      <c r="D251" s="403"/>
      <c r="H251" s="403"/>
      <c r="L251" s="403"/>
      <c r="P251" s="403"/>
      <c r="T251" s="403"/>
      <c r="X251" s="403"/>
      <c r="AB251" s="403"/>
      <c r="AF251" s="403"/>
      <c r="AJ251" s="403"/>
    </row>
    <row r="252" spans="4:36" x14ac:dyDescent="0.25">
      <c r="D252" s="403"/>
      <c r="H252" s="403"/>
      <c r="L252" s="403"/>
      <c r="P252" s="403"/>
      <c r="T252" s="403"/>
      <c r="X252" s="403"/>
      <c r="AB252" s="403"/>
      <c r="AF252" s="403"/>
      <c r="AJ252" s="403"/>
    </row>
    <row r="253" spans="4:36" x14ac:dyDescent="0.25">
      <c r="D253" s="403"/>
      <c r="H253" s="403"/>
      <c r="L253" s="403"/>
      <c r="P253" s="403"/>
      <c r="T253" s="403"/>
      <c r="X253" s="403"/>
      <c r="AB253" s="403"/>
      <c r="AF253" s="403"/>
      <c r="AJ253" s="403"/>
    </row>
    <row r="254" spans="4:36" x14ac:dyDescent="0.25">
      <c r="D254" s="403"/>
      <c r="H254" s="403"/>
      <c r="L254" s="403"/>
      <c r="P254" s="403"/>
      <c r="T254" s="403"/>
      <c r="X254" s="403"/>
      <c r="AB254" s="403"/>
      <c r="AF254" s="403"/>
      <c r="AJ254" s="403"/>
    </row>
    <row r="255" spans="4:36" x14ac:dyDescent="0.25">
      <c r="D255" s="403"/>
      <c r="H255" s="403"/>
      <c r="L255" s="403"/>
      <c r="P255" s="403"/>
      <c r="T255" s="403"/>
      <c r="X255" s="403"/>
      <c r="AB255" s="403"/>
      <c r="AF255" s="403"/>
      <c r="AJ255" s="403"/>
    </row>
    <row r="256" spans="4:36" x14ac:dyDescent="0.25">
      <c r="D256" s="403"/>
      <c r="H256" s="403"/>
      <c r="L256" s="403"/>
      <c r="P256" s="403"/>
      <c r="T256" s="403"/>
      <c r="X256" s="403"/>
      <c r="AB256" s="403"/>
      <c r="AF256" s="403"/>
      <c r="AJ256" s="403"/>
    </row>
    <row r="257" spans="4:36" x14ac:dyDescent="0.25">
      <c r="D257" s="403"/>
      <c r="H257" s="403"/>
      <c r="L257" s="403"/>
      <c r="P257" s="403"/>
      <c r="T257" s="403"/>
      <c r="X257" s="403"/>
      <c r="AB257" s="403"/>
      <c r="AF257" s="403"/>
      <c r="AJ257" s="403"/>
    </row>
    <row r="258" spans="4:36" x14ac:dyDescent="0.25">
      <c r="D258" s="403"/>
      <c r="H258" s="403"/>
      <c r="L258" s="403"/>
      <c r="P258" s="403"/>
      <c r="T258" s="403"/>
      <c r="X258" s="403"/>
      <c r="AB258" s="403"/>
      <c r="AF258" s="403"/>
      <c r="AJ258" s="403"/>
    </row>
    <row r="259" spans="4:36" x14ac:dyDescent="0.25">
      <c r="D259" s="403"/>
      <c r="H259" s="403"/>
      <c r="L259" s="403"/>
      <c r="P259" s="403"/>
      <c r="T259" s="403"/>
      <c r="X259" s="403"/>
      <c r="AB259" s="403"/>
      <c r="AF259" s="403"/>
      <c r="AJ259" s="403"/>
    </row>
    <row r="260" spans="4:36" x14ac:dyDescent="0.25">
      <c r="D260" s="403"/>
      <c r="H260" s="403"/>
      <c r="L260" s="403"/>
      <c r="P260" s="403"/>
      <c r="T260" s="403"/>
      <c r="X260" s="403"/>
      <c r="AB260" s="403"/>
      <c r="AF260" s="403"/>
      <c r="AJ260" s="403"/>
    </row>
    <row r="261" spans="4:36" x14ac:dyDescent="0.25">
      <c r="D261" s="403"/>
      <c r="H261" s="403"/>
      <c r="L261" s="403"/>
      <c r="P261" s="403"/>
      <c r="T261" s="403"/>
      <c r="X261" s="403"/>
      <c r="AB261" s="403"/>
      <c r="AF261" s="403"/>
      <c r="AJ261" s="403"/>
    </row>
    <row r="262" spans="4:36" x14ac:dyDescent="0.25">
      <c r="D262" s="403"/>
      <c r="H262" s="403"/>
      <c r="L262" s="403"/>
      <c r="P262" s="403"/>
      <c r="T262" s="403"/>
      <c r="X262" s="403"/>
      <c r="AB262" s="403"/>
      <c r="AF262" s="403"/>
      <c r="AJ262" s="403"/>
    </row>
    <row r="263" spans="4:36" x14ac:dyDescent="0.25">
      <c r="D263" s="403"/>
      <c r="H263" s="403"/>
      <c r="L263" s="403"/>
      <c r="P263" s="403"/>
      <c r="T263" s="403"/>
      <c r="X263" s="403"/>
      <c r="AB263" s="403"/>
      <c r="AF263" s="403"/>
      <c r="AJ263" s="403"/>
    </row>
    <row r="264" spans="4:36" x14ac:dyDescent="0.25">
      <c r="D264" s="403"/>
      <c r="H264" s="403"/>
      <c r="L264" s="403"/>
      <c r="P264" s="403"/>
      <c r="T264" s="403"/>
      <c r="X264" s="403"/>
      <c r="AB264" s="403"/>
      <c r="AF264" s="403"/>
      <c r="AJ264" s="403"/>
    </row>
    <row r="265" spans="4:36" x14ac:dyDescent="0.25">
      <c r="D265" s="403"/>
      <c r="H265" s="403"/>
      <c r="L265" s="403"/>
      <c r="P265" s="403"/>
      <c r="T265" s="403"/>
      <c r="X265" s="403"/>
      <c r="AB265" s="403"/>
      <c r="AF265" s="403"/>
      <c r="AJ265" s="403"/>
    </row>
    <row r="266" spans="4:36" x14ac:dyDescent="0.25">
      <c r="D266" s="403"/>
      <c r="H266" s="403"/>
      <c r="L266" s="403"/>
      <c r="P266" s="403"/>
      <c r="T266" s="403"/>
      <c r="X266" s="403"/>
      <c r="AB266" s="403"/>
      <c r="AF266" s="403"/>
      <c r="AJ266" s="403"/>
    </row>
    <row r="267" spans="4:36" x14ac:dyDescent="0.25">
      <c r="D267" s="403"/>
      <c r="H267" s="403"/>
      <c r="L267" s="403"/>
      <c r="P267" s="403"/>
      <c r="T267" s="403"/>
      <c r="X267" s="403"/>
      <c r="AB267" s="403"/>
      <c r="AF267" s="403"/>
      <c r="AJ267" s="403"/>
    </row>
    <row r="268" spans="4:36" x14ac:dyDescent="0.25">
      <c r="D268" s="403"/>
      <c r="H268" s="403"/>
      <c r="L268" s="403"/>
      <c r="P268" s="403"/>
      <c r="T268" s="403"/>
      <c r="X268" s="403"/>
      <c r="AB268" s="403"/>
      <c r="AF268" s="403"/>
      <c r="AJ268" s="403"/>
    </row>
    <row r="269" spans="4:36" x14ac:dyDescent="0.25">
      <c r="D269" s="403"/>
      <c r="H269" s="403"/>
      <c r="L269" s="403"/>
      <c r="P269" s="403"/>
      <c r="T269" s="403"/>
      <c r="X269" s="403"/>
      <c r="AB269" s="403"/>
      <c r="AF269" s="403"/>
      <c r="AJ269" s="403"/>
    </row>
    <row r="270" spans="4:36" x14ac:dyDescent="0.25">
      <c r="D270" s="403"/>
      <c r="H270" s="403"/>
      <c r="L270" s="403"/>
      <c r="P270" s="403"/>
      <c r="T270" s="403"/>
      <c r="X270" s="403"/>
      <c r="AB270" s="403"/>
      <c r="AF270" s="403"/>
      <c r="AJ270" s="403"/>
    </row>
    <row r="271" spans="4:36" x14ac:dyDescent="0.25">
      <c r="D271" s="403"/>
      <c r="H271" s="403"/>
      <c r="L271" s="403"/>
      <c r="P271" s="403"/>
      <c r="T271" s="403"/>
      <c r="X271" s="403"/>
      <c r="AB271" s="403"/>
      <c r="AF271" s="403"/>
      <c r="AJ271" s="403"/>
    </row>
    <row r="272" spans="4:36" x14ac:dyDescent="0.25">
      <c r="D272" s="403"/>
      <c r="H272" s="403"/>
      <c r="L272" s="403"/>
      <c r="P272" s="403"/>
      <c r="T272" s="403"/>
      <c r="X272" s="403"/>
      <c r="AB272" s="403"/>
      <c r="AF272" s="403"/>
      <c r="AJ272" s="403"/>
    </row>
    <row r="273" spans="4:36" x14ac:dyDescent="0.25">
      <c r="D273" s="403"/>
      <c r="H273" s="403"/>
      <c r="L273" s="403"/>
      <c r="P273" s="403"/>
      <c r="T273" s="403"/>
      <c r="X273" s="403"/>
      <c r="AB273" s="403"/>
      <c r="AF273" s="403"/>
      <c r="AJ273" s="403"/>
    </row>
    <row r="274" spans="4:36" x14ac:dyDescent="0.25">
      <c r="D274" s="403"/>
      <c r="H274" s="403"/>
      <c r="L274" s="403"/>
      <c r="P274" s="403"/>
      <c r="T274" s="403"/>
      <c r="X274" s="403"/>
      <c r="AB274" s="403"/>
      <c r="AF274" s="403"/>
      <c r="AJ274" s="403"/>
    </row>
    <row r="275" spans="4:36" x14ac:dyDescent="0.25">
      <c r="D275" s="403"/>
      <c r="H275" s="403"/>
      <c r="L275" s="403"/>
      <c r="P275" s="403"/>
      <c r="T275" s="403"/>
      <c r="X275" s="403"/>
      <c r="AB275" s="403"/>
      <c r="AF275" s="403"/>
      <c r="AJ275" s="403"/>
    </row>
    <row r="276" spans="4:36" x14ac:dyDescent="0.25">
      <c r="D276" s="403"/>
      <c r="H276" s="403"/>
      <c r="L276" s="403"/>
      <c r="P276" s="403"/>
      <c r="T276" s="403"/>
      <c r="X276" s="403"/>
      <c r="AB276" s="403"/>
      <c r="AF276" s="403"/>
      <c r="AJ276" s="403"/>
    </row>
    <row r="277" spans="4:36" x14ac:dyDescent="0.25">
      <c r="D277" s="403"/>
      <c r="H277" s="403"/>
      <c r="L277" s="403"/>
      <c r="P277" s="403"/>
      <c r="T277" s="403"/>
      <c r="X277" s="403"/>
      <c r="AB277" s="403"/>
      <c r="AF277" s="403"/>
      <c r="AJ277" s="403"/>
    </row>
    <row r="278" spans="4:36" x14ac:dyDescent="0.25">
      <c r="D278" s="403"/>
      <c r="H278" s="403"/>
      <c r="L278" s="403"/>
      <c r="P278" s="403"/>
      <c r="T278" s="403"/>
      <c r="X278" s="403"/>
      <c r="AB278" s="403"/>
      <c r="AF278" s="403"/>
      <c r="AJ278" s="403"/>
    </row>
    <row r="279" spans="4:36" x14ac:dyDescent="0.25">
      <c r="D279" s="403"/>
      <c r="H279" s="403"/>
      <c r="L279" s="403"/>
      <c r="P279" s="403"/>
      <c r="T279" s="403"/>
      <c r="X279" s="403"/>
      <c r="AB279" s="403"/>
      <c r="AF279" s="403"/>
      <c r="AJ279" s="403"/>
    </row>
    <row r="280" spans="4:36" x14ac:dyDescent="0.25">
      <c r="D280" s="403"/>
      <c r="H280" s="403"/>
      <c r="L280" s="403"/>
      <c r="P280" s="403"/>
      <c r="T280" s="403"/>
      <c r="X280" s="403"/>
      <c r="AB280" s="403"/>
      <c r="AF280" s="403"/>
      <c r="AJ280" s="403"/>
    </row>
    <row r="281" spans="4:36" x14ac:dyDescent="0.25">
      <c r="D281" s="403"/>
      <c r="H281" s="403"/>
      <c r="L281" s="403"/>
      <c r="P281" s="403"/>
      <c r="T281" s="403"/>
      <c r="X281" s="403"/>
      <c r="AB281" s="403"/>
      <c r="AF281" s="403"/>
      <c r="AJ281" s="403"/>
    </row>
    <row r="282" spans="4:36" x14ac:dyDescent="0.25">
      <c r="D282" s="403"/>
      <c r="H282" s="403"/>
      <c r="L282" s="403"/>
      <c r="P282" s="403"/>
      <c r="T282" s="403"/>
      <c r="X282" s="403"/>
      <c r="AB282" s="403"/>
      <c r="AF282" s="403"/>
      <c r="AJ282" s="403"/>
    </row>
    <row r="283" spans="4:36" x14ac:dyDescent="0.25">
      <c r="D283" s="403"/>
      <c r="H283" s="403"/>
      <c r="L283" s="403"/>
      <c r="P283" s="403"/>
      <c r="T283" s="403"/>
      <c r="X283" s="403"/>
      <c r="AB283" s="403"/>
      <c r="AF283" s="403"/>
      <c r="AJ283" s="403"/>
    </row>
    <row r="284" spans="4:36" x14ac:dyDescent="0.25">
      <c r="D284" s="403"/>
      <c r="H284" s="403"/>
      <c r="L284" s="403"/>
      <c r="P284" s="403"/>
      <c r="T284" s="403"/>
      <c r="X284" s="403"/>
      <c r="AB284" s="403"/>
      <c r="AF284" s="403"/>
      <c r="AJ284" s="403"/>
    </row>
    <row r="285" spans="4:36" x14ac:dyDescent="0.25">
      <c r="D285" s="403"/>
      <c r="H285" s="403"/>
      <c r="L285" s="403"/>
      <c r="P285" s="403"/>
      <c r="T285" s="403"/>
      <c r="X285" s="403"/>
      <c r="AB285" s="403"/>
      <c r="AF285" s="403"/>
      <c r="AJ285" s="403"/>
    </row>
    <row r="286" spans="4:36" x14ac:dyDescent="0.25">
      <c r="D286" s="403"/>
      <c r="H286" s="403"/>
      <c r="L286" s="403"/>
      <c r="P286" s="403"/>
      <c r="T286" s="403"/>
      <c r="X286" s="403"/>
      <c r="AB286" s="403"/>
      <c r="AF286" s="403"/>
      <c r="AJ286" s="403"/>
    </row>
    <row r="287" spans="4:36" x14ac:dyDescent="0.25">
      <c r="D287" s="403"/>
      <c r="H287" s="403"/>
      <c r="L287" s="403"/>
      <c r="P287" s="403"/>
      <c r="T287" s="403"/>
      <c r="X287" s="403"/>
      <c r="AB287" s="403"/>
      <c r="AF287" s="403"/>
      <c r="AJ287" s="403"/>
    </row>
    <row r="288" spans="4:36" x14ac:dyDescent="0.25">
      <c r="D288" s="403"/>
      <c r="H288" s="403"/>
      <c r="L288" s="403"/>
      <c r="P288" s="403"/>
      <c r="T288" s="403"/>
      <c r="X288" s="403"/>
      <c r="AB288" s="403"/>
      <c r="AF288" s="403"/>
      <c r="AJ288" s="403"/>
    </row>
    <row r="289" spans="4:36" x14ac:dyDescent="0.25">
      <c r="D289" s="403"/>
      <c r="H289" s="403"/>
      <c r="L289" s="403"/>
      <c r="P289" s="403"/>
      <c r="T289" s="403"/>
      <c r="X289" s="403"/>
      <c r="AB289" s="403"/>
      <c r="AF289" s="403"/>
      <c r="AJ289" s="403"/>
    </row>
    <row r="290" spans="4:36" x14ac:dyDescent="0.25">
      <c r="D290" s="403"/>
      <c r="H290" s="403"/>
      <c r="L290" s="403"/>
      <c r="P290" s="403"/>
      <c r="T290" s="403"/>
      <c r="X290" s="403"/>
      <c r="AB290" s="403"/>
      <c r="AF290" s="403"/>
      <c r="AJ290" s="403"/>
    </row>
    <row r="291" spans="4:36" x14ac:dyDescent="0.25">
      <c r="D291" s="403"/>
      <c r="H291" s="403"/>
      <c r="L291" s="403"/>
      <c r="P291" s="403"/>
      <c r="T291" s="403"/>
      <c r="X291" s="403"/>
      <c r="AB291" s="403"/>
      <c r="AF291" s="403"/>
      <c r="AJ291" s="403"/>
    </row>
    <row r="292" spans="4:36" x14ac:dyDescent="0.25">
      <c r="D292" s="403"/>
      <c r="H292" s="403"/>
      <c r="L292" s="403"/>
      <c r="P292" s="403"/>
      <c r="T292" s="403"/>
      <c r="X292" s="403"/>
      <c r="AB292" s="403"/>
      <c r="AF292" s="403"/>
      <c r="AJ292" s="403"/>
    </row>
    <row r="293" spans="4:36" x14ac:dyDescent="0.25">
      <c r="D293" s="403"/>
      <c r="H293" s="403"/>
      <c r="L293" s="403"/>
      <c r="P293" s="403"/>
      <c r="T293" s="403"/>
      <c r="X293" s="403"/>
      <c r="AB293" s="403"/>
      <c r="AF293" s="403"/>
      <c r="AJ293" s="403"/>
    </row>
    <row r="294" spans="4:36" x14ac:dyDescent="0.25">
      <c r="D294" s="403"/>
      <c r="H294" s="403"/>
      <c r="L294" s="403"/>
      <c r="P294" s="403"/>
      <c r="T294" s="403"/>
      <c r="X294" s="403"/>
      <c r="AB294" s="403"/>
      <c r="AF294" s="403"/>
      <c r="AJ294" s="403"/>
    </row>
    <row r="295" spans="4:36" x14ac:dyDescent="0.25">
      <c r="D295" s="403"/>
      <c r="H295" s="403"/>
      <c r="L295" s="403"/>
      <c r="P295" s="403"/>
      <c r="T295" s="403"/>
      <c r="X295" s="403"/>
      <c r="AB295" s="403"/>
      <c r="AF295" s="403"/>
      <c r="AJ295" s="403"/>
    </row>
    <row r="296" spans="4:36" x14ac:dyDescent="0.25">
      <c r="D296" s="403"/>
      <c r="H296" s="403"/>
      <c r="L296" s="403"/>
      <c r="P296" s="403"/>
      <c r="T296" s="403"/>
      <c r="X296" s="403"/>
      <c r="AB296" s="403"/>
      <c r="AF296" s="403"/>
      <c r="AJ296" s="403"/>
    </row>
    <row r="297" spans="4:36" x14ac:dyDescent="0.25">
      <c r="D297" s="403"/>
      <c r="H297" s="403"/>
      <c r="L297" s="403"/>
      <c r="P297" s="403"/>
      <c r="T297" s="403"/>
      <c r="X297" s="403"/>
      <c r="AB297" s="403"/>
      <c r="AF297" s="403"/>
      <c r="AJ297" s="403"/>
    </row>
    <row r="298" spans="4:36" x14ac:dyDescent="0.25">
      <c r="D298" s="403"/>
      <c r="H298" s="403"/>
      <c r="L298" s="403"/>
      <c r="P298" s="403"/>
      <c r="T298" s="403"/>
      <c r="X298" s="403"/>
      <c r="AB298" s="403"/>
      <c r="AF298" s="403"/>
      <c r="AJ298" s="403"/>
    </row>
    <row r="299" spans="4:36" x14ac:dyDescent="0.25">
      <c r="D299" s="403"/>
      <c r="H299" s="403"/>
      <c r="L299" s="403"/>
      <c r="P299" s="403"/>
      <c r="T299" s="403"/>
      <c r="X299" s="403"/>
      <c r="AB299" s="403"/>
      <c r="AF299" s="403"/>
      <c r="AJ299" s="403"/>
    </row>
    <row r="300" spans="4:36" x14ac:dyDescent="0.25">
      <c r="D300" s="403"/>
      <c r="H300" s="403"/>
      <c r="L300" s="403"/>
      <c r="P300" s="403"/>
      <c r="T300" s="403"/>
      <c r="X300" s="403"/>
      <c r="AB300" s="403"/>
      <c r="AF300" s="403"/>
      <c r="AJ300" s="403"/>
    </row>
    <row r="301" spans="4:36" x14ac:dyDescent="0.25">
      <c r="D301" s="403"/>
      <c r="H301" s="403"/>
      <c r="L301" s="403"/>
      <c r="P301" s="403"/>
      <c r="T301" s="403"/>
      <c r="X301" s="403"/>
      <c r="AB301" s="403"/>
      <c r="AF301" s="403"/>
      <c r="AJ301" s="403"/>
    </row>
    <row r="302" spans="4:36" x14ac:dyDescent="0.25">
      <c r="D302" s="403"/>
      <c r="H302" s="403"/>
      <c r="L302" s="403"/>
      <c r="P302" s="403"/>
      <c r="T302" s="403"/>
      <c r="X302" s="403"/>
      <c r="AB302" s="403"/>
      <c r="AF302" s="403"/>
      <c r="AJ302" s="403"/>
    </row>
    <row r="303" spans="4:36" x14ac:dyDescent="0.25">
      <c r="D303" s="403"/>
      <c r="H303" s="403"/>
      <c r="L303" s="403"/>
      <c r="P303" s="403"/>
      <c r="T303" s="403"/>
      <c r="X303" s="403"/>
      <c r="AB303" s="403"/>
      <c r="AF303" s="403"/>
      <c r="AJ303" s="403"/>
    </row>
    <row r="304" spans="4:36" x14ac:dyDescent="0.25">
      <c r="D304" s="403"/>
      <c r="H304" s="403"/>
      <c r="L304" s="403"/>
      <c r="P304" s="403"/>
      <c r="T304" s="403"/>
      <c r="X304" s="403"/>
      <c r="AB304" s="403"/>
      <c r="AF304" s="403"/>
      <c r="AJ304" s="403"/>
    </row>
    <row r="305" spans="4:36" x14ac:dyDescent="0.25">
      <c r="D305" s="403"/>
      <c r="H305" s="403"/>
      <c r="L305" s="403"/>
      <c r="P305" s="403"/>
      <c r="T305" s="403"/>
      <c r="X305" s="403"/>
      <c r="AB305" s="403"/>
      <c r="AF305" s="403"/>
      <c r="AJ305" s="403"/>
    </row>
    <row r="306" spans="4:36" x14ac:dyDescent="0.25">
      <c r="D306" s="403"/>
      <c r="H306" s="403"/>
      <c r="L306" s="403"/>
      <c r="P306" s="403"/>
      <c r="T306" s="403"/>
      <c r="X306" s="403"/>
      <c r="AB306" s="403"/>
      <c r="AF306" s="403"/>
      <c r="AJ306" s="403"/>
    </row>
    <row r="307" spans="4:36" x14ac:dyDescent="0.25">
      <c r="D307" s="403"/>
      <c r="H307" s="403"/>
      <c r="L307" s="403"/>
      <c r="P307" s="403"/>
      <c r="T307" s="403"/>
      <c r="X307" s="403"/>
      <c r="AB307" s="403"/>
      <c r="AF307" s="403"/>
      <c r="AJ307" s="403"/>
    </row>
    <row r="308" spans="4:36" x14ac:dyDescent="0.25">
      <c r="D308" s="403"/>
      <c r="H308" s="403"/>
      <c r="L308" s="403"/>
      <c r="P308" s="403"/>
      <c r="T308" s="403"/>
      <c r="X308" s="403"/>
      <c r="AB308" s="403"/>
      <c r="AF308" s="403"/>
      <c r="AJ308" s="403"/>
    </row>
    <row r="309" spans="4:36" x14ac:dyDescent="0.25">
      <c r="D309" s="403"/>
      <c r="H309" s="403"/>
      <c r="L309" s="403"/>
      <c r="P309" s="403"/>
      <c r="T309" s="403"/>
      <c r="X309" s="403"/>
      <c r="AB309" s="403"/>
      <c r="AF309" s="403"/>
      <c r="AJ309" s="403"/>
    </row>
    <row r="310" spans="4:36" x14ac:dyDescent="0.25">
      <c r="D310" s="403"/>
      <c r="H310" s="403"/>
      <c r="L310" s="403"/>
      <c r="P310" s="403"/>
      <c r="T310" s="403"/>
      <c r="X310" s="403"/>
      <c r="AB310" s="403"/>
      <c r="AF310" s="403"/>
      <c r="AJ310" s="403"/>
    </row>
    <row r="311" spans="4:36" x14ac:dyDescent="0.25">
      <c r="D311" s="403"/>
      <c r="H311" s="403"/>
      <c r="L311" s="403"/>
      <c r="P311" s="403"/>
      <c r="T311" s="403"/>
      <c r="X311" s="403"/>
      <c r="AB311" s="403"/>
      <c r="AF311" s="403"/>
      <c r="AJ311" s="403"/>
    </row>
    <row r="312" spans="4:36" x14ac:dyDescent="0.25">
      <c r="D312" s="403"/>
      <c r="H312" s="403"/>
      <c r="L312" s="403"/>
      <c r="P312" s="403"/>
      <c r="T312" s="403"/>
      <c r="X312" s="403"/>
      <c r="AB312" s="403"/>
      <c r="AF312" s="403"/>
      <c r="AJ312" s="403"/>
    </row>
    <row r="313" spans="4:36" x14ac:dyDescent="0.25">
      <c r="D313" s="403"/>
      <c r="H313" s="403"/>
      <c r="L313" s="403"/>
      <c r="P313" s="403"/>
      <c r="T313" s="403"/>
      <c r="X313" s="403"/>
      <c r="AB313" s="403"/>
      <c r="AF313" s="403"/>
      <c r="AJ313" s="403"/>
    </row>
    <row r="314" spans="4:36" x14ac:dyDescent="0.25">
      <c r="D314" s="403"/>
      <c r="H314" s="403"/>
      <c r="L314" s="403"/>
      <c r="P314" s="403"/>
      <c r="T314" s="403"/>
      <c r="X314" s="403"/>
      <c r="AB314" s="403"/>
      <c r="AF314" s="403"/>
      <c r="AJ314" s="403"/>
    </row>
    <row r="315" spans="4:36" x14ac:dyDescent="0.25">
      <c r="D315" s="403"/>
      <c r="H315" s="403"/>
      <c r="L315" s="403"/>
      <c r="P315" s="403"/>
      <c r="T315" s="403"/>
      <c r="X315" s="403"/>
      <c r="AB315" s="403"/>
      <c r="AF315" s="403"/>
      <c r="AJ315" s="403"/>
    </row>
    <row r="316" spans="4:36" x14ac:dyDescent="0.25">
      <c r="D316" s="403"/>
      <c r="H316" s="403"/>
      <c r="L316" s="403"/>
      <c r="P316" s="403"/>
      <c r="T316" s="403"/>
      <c r="X316" s="403"/>
      <c r="AB316" s="403"/>
      <c r="AF316" s="403"/>
      <c r="AJ316" s="403"/>
    </row>
    <row r="317" spans="4:36" x14ac:dyDescent="0.25">
      <c r="D317" s="403"/>
      <c r="H317" s="403"/>
      <c r="L317" s="403"/>
      <c r="P317" s="403"/>
      <c r="T317" s="403"/>
      <c r="X317" s="403"/>
      <c r="AB317" s="403"/>
      <c r="AF317" s="403"/>
      <c r="AJ317" s="403"/>
    </row>
    <row r="318" spans="4:36" x14ac:dyDescent="0.25">
      <c r="D318" s="403"/>
      <c r="H318" s="403"/>
      <c r="L318" s="403"/>
      <c r="P318" s="403"/>
      <c r="T318" s="403"/>
      <c r="X318" s="403"/>
      <c r="AB318" s="403"/>
      <c r="AF318" s="403"/>
      <c r="AJ318" s="403"/>
    </row>
    <row r="319" spans="4:36" x14ac:dyDescent="0.25">
      <c r="D319" s="403"/>
      <c r="H319" s="403"/>
      <c r="L319" s="403"/>
      <c r="P319" s="403"/>
      <c r="T319" s="403"/>
      <c r="X319" s="403"/>
      <c r="AB319" s="403"/>
      <c r="AF319" s="403"/>
      <c r="AJ319" s="403"/>
    </row>
    <row r="320" spans="4:36" x14ac:dyDescent="0.25">
      <c r="D320" s="403"/>
      <c r="H320" s="403"/>
      <c r="L320" s="403"/>
      <c r="P320" s="403"/>
      <c r="T320" s="403"/>
      <c r="X320" s="403"/>
      <c r="AB320" s="403"/>
      <c r="AF320" s="403"/>
      <c r="AJ320" s="403"/>
    </row>
    <row r="321" spans="4:36" x14ac:dyDescent="0.25">
      <c r="D321" s="403"/>
      <c r="H321" s="403"/>
      <c r="L321" s="403"/>
      <c r="P321" s="403"/>
      <c r="T321" s="403"/>
      <c r="X321" s="403"/>
      <c r="AB321" s="403"/>
      <c r="AF321" s="403"/>
      <c r="AJ321" s="403"/>
    </row>
    <row r="322" spans="4:36" x14ac:dyDescent="0.25">
      <c r="D322" s="403"/>
      <c r="H322" s="403"/>
      <c r="L322" s="403"/>
      <c r="P322" s="403"/>
      <c r="T322" s="403"/>
      <c r="X322" s="403"/>
      <c r="AB322" s="403"/>
      <c r="AF322" s="403"/>
      <c r="AJ322" s="403"/>
    </row>
    <row r="323" spans="4:36" x14ac:dyDescent="0.25">
      <c r="D323" s="403"/>
      <c r="H323" s="403"/>
      <c r="L323" s="403"/>
      <c r="P323" s="403"/>
      <c r="T323" s="403"/>
      <c r="X323" s="403"/>
      <c r="AB323" s="403"/>
      <c r="AF323" s="403"/>
      <c r="AJ323" s="403"/>
    </row>
    <row r="324" spans="4:36" x14ac:dyDescent="0.25">
      <c r="D324" s="403"/>
      <c r="H324" s="403"/>
      <c r="L324" s="403"/>
      <c r="P324" s="403"/>
      <c r="T324" s="403"/>
      <c r="X324" s="403"/>
      <c r="AB324" s="403"/>
      <c r="AF324" s="403"/>
      <c r="AJ324" s="403"/>
    </row>
    <row r="325" spans="4:36" x14ac:dyDescent="0.25">
      <c r="D325" s="403"/>
      <c r="H325" s="403"/>
      <c r="L325" s="403"/>
      <c r="P325" s="403"/>
      <c r="T325" s="403"/>
      <c r="X325" s="403"/>
      <c r="AB325" s="403"/>
      <c r="AF325" s="403"/>
      <c r="AJ325" s="403"/>
    </row>
    <row r="326" spans="4:36" x14ac:dyDescent="0.25">
      <c r="D326" s="403"/>
      <c r="H326" s="403"/>
      <c r="L326" s="403"/>
      <c r="P326" s="403"/>
      <c r="T326" s="403"/>
      <c r="X326" s="403"/>
      <c r="AB326" s="403"/>
      <c r="AF326" s="403"/>
      <c r="AJ326" s="403"/>
    </row>
    <row r="327" spans="4:36" x14ac:dyDescent="0.25">
      <c r="D327" s="403"/>
      <c r="H327" s="403"/>
      <c r="L327" s="403"/>
      <c r="P327" s="403"/>
      <c r="T327" s="403"/>
      <c r="X327" s="403"/>
      <c r="AB327" s="403"/>
      <c r="AF327" s="403"/>
      <c r="AJ327" s="403"/>
    </row>
    <row r="328" spans="4:36" x14ac:dyDescent="0.25">
      <c r="D328" s="403"/>
      <c r="H328" s="403"/>
      <c r="L328" s="403"/>
      <c r="P328" s="403"/>
      <c r="T328" s="403"/>
      <c r="X328" s="403"/>
      <c r="AB328" s="403"/>
      <c r="AF328" s="403"/>
      <c r="AJ328" s="403"/>
    </row>
    <row r="329" spans="4:36" x14ac:dyDescent="0.25">
      <c r="D329" s="403"/>
      <c r="H329" s="403"/>
      <c r="L329" s="403"/>
      <c r="P329" s="403"/>
      <c r="T329" s="403"/>
      <c r="X329" s="403"/>
      <c r="AB329" s="403"/>
      <c r="AF329" s="403"/>
      <c r="AJ329" s="403"/>
    </row>
    <row r="330" spans="4:36" x14ac:dyDescent="0.25">
      <c r="D330" s="403"/>
      <c r="H330" s="403"/>
      <c r="L330" s="403"/>
      <c r="P330" s="403"/>
      <c r="T330" s="403"/>
      <c r="X330" s="403"/>
      <c r="AB330" s="403"/>
      <c r="AF330" s="403"/>
      <c r="AJ330" s="403"/>
    </row>
    <row r="331" spans="4:36" x14ac:dyDescent="0.25">
      <c r="D331" s="403"/>
      <c r="H331" s="403"/>
      <c r="L331" s="403"/>
      <c r="P331" s="403"/>
      <c r="T331" s="403"/>
      <c r="X331" s="403"/>
      <c r="AB331" s="403"/>
      <c r="AF331" s="403"/>
      <c r="AJ331" s="403"/>
    </row>
    <row r="332" spans="4:36" x14ac:dyDescent="0.25">
      <c r="D332" s="403"/>
      <c r="H332" s="403"/>
      <c r="L332" s="403"/>
      <c r="P332" s="403"/>
      <c r="T332" s="403"/>
      <c r="X332" s="403"/>
      <c r="AB332" s="403"/>
      <c r="AF332" s="403"/>
      <c r="AJ332" s="403"/>
    </row>
    <row r="333" spans="4:36" x14ac:dyDescent="0.25">
      <c r="D333" s="403"/>
      <c r="H333" s="403"/>
      <c r="L333" s="403"/>
      <c r="P333" s="403"/>
      <c r="T333" s="403"/>
      <c r="X333" s="403"/>
      <c r="AB333" s="403"/>
      <c r="AF333" s="403"/>
      <c r="AJ333" s="403"/>
    </row>
    <row r="334" spans="4:36" x14ac:dyDescent="0.25">
      <c r="D334" s="403"/>
      <c r="H334" s="403"/>
      <c r="L334" s="403"/>
      <c r="P334" s="403"/>
      <c r="T334" s="403"/>
      <c r="X334" s="403"/>
      <c r="AB334" s="403"/>
      <c r="AF334" s="403"/>
      <c r="AJ334" s="403"/>
    </row>
    <row r="335" spans="4:36" x14ac:dyDescent="0.25">
      <c r="D335" s="403"/>
      <c r="H335" s="403"/>
      <c r="L335" s="403"/>
      <c r="P335" s="403"/>
      <c r="T335" s="403"/>
      <c r="X335" s="403"/>
      <c r="AB335" s="403"/>
      <c r="AF335" s="403"/>
      <c r="AJ335" s="403"/>
    </row>
    <row r="336" spans="4:36" x14ac:dyDescent="0.25">
      <c r="D336" s="403"/>
      <c r="H336" s="403"/>
      <c r="L336" s="403"/>
      <c r="P336" s="403"/>
      <c r="T336" s="403"/>
      <c r="X336" s="403"/>
      <c r="AB336" s="403"/>
      <c r="AF336" s="403"/>
      <c r="AJ336" s="403"/>
    </row>
    <row r="337" spans="4:36" x14ac:dyDescent="0.25">
      <c r="D337" s="403"/>
      <c r="H337" s="403"/>
      <c r="L337" s="403"/>
      <c r="P337" s="403"/>
      <c r="T337" s="403"/>
      <c r="X337" s="403"/>
      <c r="AB337" s="403"/>
      <c r="AF337" s="403"/>
      <c r="AJ337" s="403"/>
    </row>
    <row r="338" spans="4:36" x14ac:dyDescent="0.25">
      <c r="D338" s="403"/>
      <c r="H338" s="403"/>
      <c r="L338" s="403"/>
      <c r="P338" s="403"/>
      <c r="T338" s="403"/>
      <c r="X338" s="403"/>
      <c r="AB338" s="403"/>
      <c r="AF338" s="403"/>
      <c r="AJ338" s="403"/>
    </row>
    <row r="339" spans="4:36" x14ac:dyDescent="0.25">
      <c r="D339" s="403"/>
      <c r="H339" s="403"/>
      <c r="L339" s="403"/>
      <c r="P339" s="403"/>
      <c r="T339" s="403"/>
      <c r="X339" s="403"/>
      <c r="AB339" s="403"/>
      <c r="AF339" s="403"/>
      <c r="AJ339" s="403"/>
    </row>
    <row r="340" spans="4:36" x14ac:dyDescent="0.25">
      <c r="D340" s="403"/>
      <c r="H340" s="403"/>
      <c r="L340" s="403"/>
      <c r="P340" s="403"/>
      <c r="T340" s="403"/>
      <c r="X340" s="403"/>
      <c r="AB340" s="403"/>
      <c r="AF340" s="403"/>
      <c r="AJ340" s="403"/>
    </row>
    <row r="341" spans="4:36" x14ac:dyDescent="0.25">
      <c r="D341" s="403"/>
      <c r="H341" s="403"/>
      <c r="L341" s="403"/>
      <c r="P341" s="403"/>
      <c r="T341" s="403"/>
      <c r="X341" s="403"/>
      <c r="AB341" s="403"/>
      <c r="AF341" s="403"/>
      <c r="AJ341" s="403"/>
    </row>
    <row r="342" spans="4:36" x14ac:dyDescent="0.25">
      <c r="D342" s="403"/>
      <c r="H342" s="403"/>
      <c r="L342" s="403"/>
      <c r="P342" s="403"/>
      <c r="T342" s="403"/>
      <c r="X342" s="403"/>
      <c r="AB342" s="403"/>
      <c r="AF342" s="403"/>
      <c r="AJ342" s="403"/>
    </row>
    <row r="343" spans="4:36" x14ac:dyDescent="0.25">
      <c r="D343" s="403"/>
      <c r="H343" s="403"/>
      <c r="L343" s="403"/>
      <c r="P343" s="403"/>
      <c r="T343" s="403"/>
      <c r="X343" s="403"/>
      <c r="AB343" s="403"/>
      <c r="AF343" s="403"/>
      <c r="AJ343" s="403"/>
    </row>
    <row r="344" spans="4:36" x14ac:dyDescent="0.25">
      <c r="D344" s="403"/>
      <c r="H344" s="403"/>
      <c r="L344" s="403"/>
      <c r="P344" s="403"/>
      <c r="T344" s="403"/>
      <c r="X344" s="403"/>
      <c r="AB344" s="403"/>
      <c r="AF344" s="403"/>
      <c r="AJ344" s="403"/>
    </row>
    <row r="345" spans="4:36" x14ac:dyDescent="0.25">
      <c r="D345" s="403"/>
      <c r="H345" s="403"/>
      <c r="L345" s="403"/>
      <c r="P345" s="403"/>
      <c r="T345" s="403"/>
      <c r="X345" s="403"/>
      <c r="AB345" s="403"/>
      <c r="AF345" s="403"/>
      <c r="AJ345" s="403"/>
    </row>
    <row r="346" spans="4:36" x14ac:dyDescent="0.25">
      <c r="D346" s="403"/>
      <c r="H346" s="403"/>
      <c r="L346" s="403"/>
      <c r="P346" s="403"/>
      <c r="T346" s="403"/>
      <c r="X346" s="403"/>
      <c r="AB346" s="403"/>
      <c r="AF346" s="403"/>
      <c r="AJ346" s="403"/>
    </row>
    <row r="347" spans="4:36" x14ac:dyDescent="0.25">
      <c r="D347" s="403"/>
      <c r="H347" s="403"/>
      <c r="L347" s="403"/>
      <c r="P347" s="403"/>
      <c r="T347" s="403"/>
      <c r="X347" s="403"/>
      <c r="AB347" s="403"/>
      <c r="AF347" s="403"/>
      <c r="AJ347" s="403"/>
    </row>
    <row r="348" spans="4:36" x14ac:dyDescent="0.25">
      <c r="D348" s="403"/>
      <c r="H348" s="403"/>
      <c r="L348" s="403"/>
      <c r="P348" s="403"/>
      <c r="T348" s="403"/>
      <c r="X348" s="403"/>
      <c r="AB348" s="403"/>
      <c r="AF348" s="403"/>
      <c r="AJ348" s="403"/>
    </row>
    <row r="349" spans="4:36" x14ac:dyDescent="0.25">
      <c r="D349" s="403"/>
      <c r="H349" s="403"/>
      <c r="L349" s="403"/>
      <c r="P349" s="403"/>
      <c r="T349" s="403"/>
      <c r="X349" s="403"/>
      <c r="AB349" s="403"/>
      <c r="AF349" s="403"/>
      <c r="AJ349" s="403"/>
    </row>
    <row r="350" spans="4:36" x14ac:dyDescent="0.25">
      <c r="D350" s="403"/>
      <c r="H350" s="403"/>
      <c r="L350" s="403"/>
      <c r="P350" s="403"/>
      <c r="T350" s="403"/>
      <c r="X350" s="403"/>
      <c r="AB350" s="403"/>
      <c r="AF350" s="403"/>
      <c r="AJ350" s="403"/>
    </row>
    <row r="351" spans="4:36" x14ac:dyDescent="0.25">
      <c r="D351" s="403"/>
      <c r="H351" s="403"/>
      <c r="L351" s="403"/>
      <c r="P351" s="403"/>
      <c r="T351" s="403"/>
      <c r="X351" s="403"/>
      <c r="AB351" s="403"/>
      <c r="AF351" s="403"/>
      <c r="AJ351" s="403"/>
    </row>
    <row r="352" spans="4:36" x14ac:dyDescent="0.25">
      <c r="D352" s="403"/>
      <c r="H352" s="403"/>
      <c r="L352" s="403"/>
      <c r="P352" s="403"/>
      <c r="T352" s="403"/>
      <c r="X352" s="403"/>
      <c r="AB352" s="403"/>
      <c r="AF352" s="403"/>
      <c r="AJ352" s="403"/>
    </row>
    <row r="353" spans="4:36" x14ac:dyDescent="0.25">
      <c r="D353" s="403"/>
      <c r="H353" s="403"/>
      <c r="L353" s="403"/>
      <c r="P353" s="403"/>
      <c r="T353" s="403"/>
      <c r="X353" s="403"/>
      <c r="AB353" s="403"/>
      <c r="AF353" s="403"/>
      <c r="AJ353" s="403"/>
    </row>
    <row r="354" spans="4:36" x14ac:dyDescent="0.25">
      <c r="D354" s="403"/>
      <c r="H354" s="403"/>
      <c r="L354" s="403"/>
      <c r="P354" s="403"/>
      <c r="T354" s="403"/>
      <c r="X354" s="403"/>
      <c r="AB354" s="403"/>
      <c r="AF354" s="403"/>
      <c r="AJ354" s="403"/>
    </row>
    <row r="355" spans="4:36" x14ac:dyDescent="0.25">
      <c r="D355" s="403"/>
      <c r="H355" s="403"/>
      <c r="L355" s="403"/>
      <c r="P355" s="403"/>
      <c r="T355" s="403"/>
      <c r="X355" s="403"/>
      <c r="AB355" s="403"/>
      <c r="AF355" s="403"/>
      <c r="AJ355" s="403"/>
    </row>
    <row r="356" spans="4:36" x14ac:dyDescent="0.25">
      <c r="D356" s="403"/>
      <c r="H356" s="403"/>
      <c r="L356" s="403"/>
      <c r="P356" s="403"/>
      <c r="T356" s="403"/>
      <c r="X356" s="403"/>
      <c r="AB356" s="403"/>
      <c r="AF356" s="403"/>
      <c r="AJ356" s="403"/>
    </row>
    <row r="357" spans="4:36" x14ac:dyDescent="0.25">
      <c r="D357" s="403"/>
      <c r="H357" s="403"/>
      <c r="L357" s="403"/>
      <c r="P357" s="403"/>
      <c r="T357" s="403"/>
      <c r="X357" s="403"/>
      <c r="AB357" s="403"/>
      <c r="AF357" s="403"/>
      <c r="AJ357" s="403"/>
    </row>
    <row r="358" spans="4:36" x14ac:dyDescent="0.25">
      <c r="D358" s="403"/>
      <c r="H358" s="403"/>
      <c r="L358" s="403"/>
      <c r="P358" s="403"/>
      <c r="T358" s="403"/>
      <c r="X358" s="403"/>
      <c r="AB358" s="403"/>
      <c r="AF358" s="403"/>
      <c r="AJ358" s="403"/>
    </row>
    <row r="359" spans="4:36" x14ac:dyDescent="0.25">
      <c r="D359" s="403"/>
      <c r="H359" s="403"/>
      <c r="L359" s="403"/>
      <c r="P359" s="403"/>
      <c r="T359" s="403"/>
      <c r="X359" s="403"/>
      <c r="AB359" s="403"/>
      <c r="AF359" s="403"/>
      <c r="AJ359" s="403"/>
    </row>
    <row r="360" spans="4:36" x14ac:dyDescent="0.25">
      <c r="D360" s="403"/>
      <c r="H360" s="403"/>
      <c r="L360" s="403"/>
      <c r="P360" s="403"/>
      <c r="T360" s="403"/>
      <c r="X360" s="403"/>
      <c r="AB360" s="403"/>
      <c r="AF360" s="403"/>
      <c r="AJ360" s="403"/>
    </row>
    <row r="361" spans="4:36" x14ac:dyDescent="0.25">
      <c r="D361" s="403"/>
      <c r="H361" s="403"/>
      <c r="L361" s="403"/>
      <c r="P361" s="403"/>
      <c r="T361" s="403"/>
      <c r="X361" s="403"/>
      <c r="AB361" s="403"/>
      <c r="AF361" s="403"/>
      <c r="AJ361" s="403"/>
    </row>
    <row r="362" spans="4:36" x14ac:dyDescent="0.25">
      <c r="D362" s="403"/>
      <c r="H362" s="403"/>
      <c r="L362" s="403"/>
      <c r="P362" s="403"/>
      <c r="T362" s="403"/>
      <c r="X362" s="403"/>
      <c r="AB362" s="403"/>
      <c r="AF362" s="403"/>
      <c r="AJ362" s="403"/>
    </row>
    <row r="363" spans="4:36" x14ac:dyDescent="0.25">
      <c r="D363" s="403"/>
      <c r="H363" s="403"/>
      <c r="L363" s="403"/>
      <c r="P363" s="403"/>
      <c r="T363" s="403"/>
      <c r="X363" s="403"/>
      <c r="AB363" s="403"/>
      <c r="AF363" s="403"/>
      <c r="AJ363" s="403"/>
    </row>
    <row r="364" spans="4:36" x14ac:dyDescent="0.25">
      <c r="D364" s="403"/>
      <c r="H364" s="403"/>
      <c r="L364" s="403"/>
      <c r="P364" s="403"/>
      <c r="T364" s="403"/>
      <c r="X364" s="403"/>
      <c r="AB364" s="403"/>
      <c r="AF364" s="403"/>
      <c r="AJ364" s="403"/>
    </row>
    <row r="365" spans="4:36" x14ac:dyDescent="0.25">
      <c r="D365" s="403"/>
      <c r="H365" s="403"/>
      <c r="L365" s="403"/>
      <c r="P365" s="403"/>
      <c r="T365" s="403"/>
      <c r="X365" s="403"/>
      <c r="AB365" s="403"/>
      <c r="AF365" s="403"/>
      <c r="AJ365" s="403"/>
    </row>
    <row r="366" spans="4:36" x14ac:dyDescent="0.25">
      <c r="D366" s="403"/>
      <c r="H366" s="403"/>
      <c r="L366" s="403"/>
      <c r="P366" s="403"/>
      <c r="T366" s="403"/>
      <c r="X366" s="403"/>
      <c r="AB366" s="403"/>
      <c r="AF366" s="403"/>
      <c r="AJ366" s="403"/>
    </row>
    <row r="367" spans="4:36" x14ac:dyDescent="0.25">
      <c r="D367" s="403"/>
      <c r="H367" s="403"/>
      <c r="L367" s="403"/>
      <c r="P367" s="403"/>
      <c r="T367" s="403"/>
      <c r="X367" s="403"/>
      <c r="AB367" s="403"/>
      <c r="AF367" s="403"/>
      <c r="AJ367" s="403"/>
    </row>
    <row r="368" spans="4:36" x14ac:dyDescent="0.25">
      <c r="D368" s="403"/>
      <c r="H368" s="403"/>
      <c r="L368" s="403"/>
      <c r="P368" s="403"/>
      <c r="T368" s="403"/>
      <c r="X368" s="403"/>
      <c r="AB368" s="403"/>
      <c r="AF368" s="403"/>
      <c r="AJ368" s="403"/>
    </row>
    <row r="369" spans="4:36" x14ac:dyDescent="0.25">
      <c r="D369" s="403"/>
      <c r="H369" s="403"/>
      <c r="L369" s="403"/>
      <c r="P369" s="403"/>
      <c r="T369" s="403"/>
      <c r="X369" s="403"/>
      <c r="AB369" s="403"/>
      <c r="AF369" s="403"/>
      <c r="AJ369" s="403"/>
    </row>
    <row r="370" spans="4:36" x14ac:dyDescent="0.25">
      <c r="D370" s="403"/>
      <c r="H370" s="403"/>
      <c r="L370" s="403"/>
      <c r="P370" s="403"/>
      <c r="T370" s="403"/>
      <c r="X370" s="403"/>
      <c r="AB370" s="403"/>
      <c r="AF370" s="403"/>
      <c r="AJ370" s="403"/>
    </row>
    <row r="371" spans="4:36" x14ac:dyDescent="0.25">
      <c r="D371" s="403"/>
      <c r="H371" s="403"/>
      <c r="L371" s="403"/>
      <c r="P371" s="403"/>
      <c r="T371" s="403"/>
      <c r="X371" s="403"/>
      <c r="AB371" s="403"/>
      <c r="AF371" s="403"/>
      <c r="AJ371" s="403"/>
    </row>
    <row r="372" spans="4:36" x14ac:dyDescent="0.25">
      <c r="D372" s="403"/>
      <c r="H372" s="403"/>
      <c r="L372" s="403"/>
      <c r="P372" s="403"/>
      <c r="T372" s="403"/>
      <c r="X372" s="403"/>
      <c r="AB372" s="403"/>
      <c r="AF372" s="403"/>
      <c r="AJ372" s="403"/>
    </row>
    <row r="373" spans="4:36" x14ac:dyDescent="0.25">
      <c r="D373" s="403"/>
      <c r="H373" s="403"/>
      <c r="L373" s="403"/>
      <c r="P373" s="403"/>
      <c r="T373" s="403"/>
      <c r="X373" s="403"/>
      <c r="AB373" s="403"/>
      <c r="AF373" s="403"/>
      <c r="AJ373" s="403"/>
    </row>
  </sheetData>
  <mergeCells count="10">
    <mergeCell ref="AB3:AD3"/>
    <mergeCell ref="AF3:AH3"/>
    <mergeCell ref="AN3:AQ3"/>
    <mergeCell ref="D3:F3"/>
    <mergeCell ref="H3:J3"/>
    <mergeCell ref="L3:N3"/>
    <mergeCell ref="P3:R3"/>
    <mergeCell ref="T3:V3"/>
    <mergeCell ref="X3:Z3"/>
    <mergeCell ref="AJ3:AL3"/>
  </mergeCells>
  <pageMargins left="0.75" right="0.75" top="1" bottom="1" header="0.5" footer="0.5"/>
  <pageSetup paperSize="5" scale="61" orientation="landscape" r:id="rId1"/>
  <headerFooter alignWithMargins="0">
    <oddHeader>&amp;C&amp;"-,Bold"Proposed Budget &amp; Analysis Report for FY20</oddHeader>
    <oddFooter>&amp;C&amp;D&amp;T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3:AQ371"/>
  <sheetViews>
    <sheetView tabSelected="1" zoomScaleNormal="100" zoomScaleSheetLayoutView="100" workbookViewId="0"/>
  </sheetViews>
  <sheetFormatPr defaultRowHeight="13.5" x14ac:dyDescent="0.25"/>
  <cols>
    <col min="1" max="1" width="19" style="161" bestFit="1" customWidth="1"/>
    <col min="2" max="2" width="5" style="161" customWidth="1"/>
    <col min="3" max="3" width="31.140625" style="161" customWidth="1"/>
    <col min="4" max="4" width="13.28515625" style="211" hidden="1" customWidth="1"/>
    <col min="5" max="5" width="11.42578125" style="211" hidden="1" customWidth="1"/>
    <col min="6" max="6" width="7.7109375" style="211" hidden="1" customWidth="1"/>
    <col min="7" max="7" width="1.5703125" style="213" hidden="1" customWidth="1"/>
    <col min="8" max="8" width="13.28515625" style="211" hidden="1" customWidth="1"/>
    <col min="9" max="9" width="11.42578125" style="211" hidden="1" customWidth="1"/>
    <col min="10" max="10" width="7.7109375" style="211" hidden="1" customWidth="1"/>
    <col min="11" max="11" width="1.5703125" style="213" hidden="1" customWidth="1"/>
    <col min="12" max="12" width="13.28515625" style="211" hidden="1" customWidth="1"/>
    <col min="13" max="13" width="11.42578125" style="211" hidden="1" customWidth="1"/>
    <col min="14" max="14" width="7.7109375" style="211" hidden="1" customWidth="1"/>
    <col min="15" max="15" width="1.5703125" style="213" hidden="1" customWidth="1"/>
    <col min="16" max="16" width="13.28515625" style="211" hidden="1" customWidth="1"/>
    <col min="17" max="17" width="11.42578125" style="211" hidden="1" customWidth="1"/>
    <col min="18" max="18" width="7.7109375" style="211" hidden="1" customWidth="1"/>
    <col min="19" max="19" width="1.5703125" style="213" hidden="1" customWidth="1"/>
    <col min="20" max="20" width="13.28515625" style="161" hidden="1" customWidth="1"/>
    <col min="21" max="21" width="11.42578125" style="161" hidden="1" customWidth="1"/>
    <col min="22" max="22" width="7.7109375" style="161" hidden="1" customWidth="1"/>
    <col min="23" max="23" width="1.5703125" style="103" hidden="1" customWidth="1"/>
    <col min="24" max="25" width="11.5703125" style="161" hidden="1" customWidth="1"/>
    <col min="26" max="26" width="7.7109375" style="161" hidden="1" customWidth="1"/>
    <col min="27" max="27" width="1.5703125" style="103" hidden="1" customWidth="1"/>
    <col min="28" max="29" width="11.5703125" style="161" customWidth="1"/>
    <col min="30" max="30" width="7.7109375" style="161" bestFit="1" customWidth="1"/>
    <col min="31" max="31" width="1.5703125" style="213" customWidth="1"/>
    <col min="32" max="32" width="11.5703125" style="211" customWidth="1"/>
    <col min="33" max="33" width="12.28515625" style="211" bestFit="1" customWidth="1"/>
    <col min="34" max="34" width="7.7109375" style="211" bestFit="1" customWidth="1"/>
    <col min="35" max="35" width="1.85546875" style="161" customWidth="1"/>
    <col min="36" max="37" width="11.5703125" style="394" customWidth="1"/>
    <col min="38" max="38" width="7.7109375" style="394" bestFit="1" customWidth="1"/>
    <col min="39" max="39" width="1.5703125" style="397" customWidth="1"/>
    <col min="40" max="40" width="12" style="104" bestFit="1" customWidth="1"/>
    <col min="41" max="41" width="12.140625" style="104" bestFit="1" customWidth="1"/>
    <col min="42" max="42" width="9.5703125" style="161" bestFit="1" customWidth="1"/>
    <col min="43" max="43" width="20.28515625" style="161" customWidth="1"/>
    <col min="44" max="16384" width="9.140625" style="161"/>
  </cols>
  <sheetData>
    <row r="3" spans="1:43" x14ac:dyDescent="0.25">
      <c r="D3" s="807" t="s">
        <v>1366</v>
      </c>
      <c r="E3" s="808"/>
      <c r="F3" s="809"/>
      <c r="G3" s="124"/>
      <c r="H3" s="807" t="s">
        <v>1365</v>
      </c>
      <c r="I3" s="808"/>
      <c r="J3" s="809"/>
      <c r="K3" s="124"/>
      <c r="L3" s="807" t="s">
        <v>1364</v>
      </c>
      <c r="M3" s="808"/>
      <c r="N3" s="809"/>
      <c r="O3" s="124"/>
      <c r="P3" s="807" t="s">
        <v>110</v>
      </c>
      <c r="Q3" s="808"/>
      <c r="R3" s="809"/>
      <c r="S3" s="124"/>
      <c r="T3" s="807" t="s">
        <v>271</v>
      </c>
      <c r="U3" s="808"/>
      <c r="V3" s="809"/>
      <c r="W3" s="124"/>
      <c r="X3" s="807" t="s">
        <v>980</v>
      </c>
      <c r="Y3" s="808"/>
      <c r="Z3" s="809"/>
      <c r="AA3" s="124"/>
      <c r="AB3" s="807" t="s">
        <v>1124</v>
      </c>
      <c r="AC3" s="808"/>
      <c r="AD3" s="809"/>
      <c r="AE3" s="124"/>
      <c r="AF3" s="808" t="s">
        <v>1363</v>
      </c>
      <c r="AG3" s="808"/>
      <c r="AH3" s="809"/>
      <c r="AI3" s="201"/>
      <c r="AJ3" s="807" t="s">
        <v>1592</v>
      </c>
      <c r="AK3" s="808"/>
      <c r="AL3" s="809"/>
      <c r="AM3" s="124"/>
      <c r="AN3" s="805" t="s">
        <v>1593</v>
      </c>
      <c r="AO3" s="805"/>
      <c r="AP3" s="805"/>
      <c r="AQ3" s="805"/>
    </row>
    <row r="4" spans="1:43" s="111" customFormat="1" ht="27" x14ac:dyDescent="0.25">
      <c r="A4" s="272"/>
      <c r="B4" s="272"/>
      <c r="C4" s="308" t="s">
        <v>1998</v>
      </c>
      <c r="D4" s="106" t="s">
        <v>98</v>
      </c>
      <c r="E4" s="106" t="s">
        <v>27</v>
      </c>
      <c r="F4" s="106" t="s">
        <v>273</v>
      </c>
      <c r="G4" s="58"/>
      <c r="H4" s="106" t="s">
        <v>98</v>
      </c>
      <c r="I4" s="106" t="s">
        <v>27</v>
      </c>
      <c r="J4" s="106" t="s">
        <v>273</v>
      </c>
      <c r="K4" s="58"/>
      <c r="L4" s="106" t="s">
        <v>98</v>
      </c>
      <c r="M4" s="106" t="s">
        <v>27</v>
      </c>
      <c r="N4" s="106" t="s">
        <v>273</v>
      </c>
      <c r="O4" s="58"/>
      <c r="P4" s="106" t="s">
        <v>98</v>
      </c>
      <c r="Q4" s="106" t="s">
        <v>27</v>
      </c>
      <c r="R4" s="106" t="s">
        <v>273</v>
      </c>
      <c r="S4" s="58"/>
      <c r="T4" s="106" t="s">
        <v>98</v>
      </c>
      <c r="U4" s="106" t="s">
        <v>27</v>
      </c>
      <c r="V4" s="106" t="s">
        <v>273</v>
      </c>
      <c r="W4" s="58"/>
      <c r="X4" s="106" t="s">
        <v>98</v>
      </c>
      <c r="Y4" s="106" t="s">
        <v>27</v>
      </c>
      <c r="Z4" s="106" t="s">
        <v>273</v>
      </c>
      <c r="AA4" s="58"/>
      <c r="AB4" s="106" t="s">
        <v>98</v>
      </c>
      <c r="AC4" s="106" t="s">
        <v>27</v>
      </c>
      <c r="AD4" s="106" t="s">
        <v>273</v>
      </c>
      <c r="AE4" s="58"/>
      <c r="AF4" s="379" t="s">
        <v>1369</v>
      </c>
      <c r="AG4" s="106" t="s">
        <v>27</v>
      </c>
      <c r="AH4" s="106" t="s">
        <v>273</v>
      </c>
      <c r="AI4" s="106"/>
      <c r="AJ4" s="106" t="s">
        <v>98</v>
      </c>
      <c r="AK4" s="439" t="s">
        <v>1714</v>
      </c>
      <c r="AL4" s="106" t="s">
        <v>273</v>
      </c>
      <c r="AM4" s="58"/>
      <c r="AN4" s="107" t="s">
        <v>274</v>
      </c>
      <c r="AO4" s="108" t="s">
        <v>107</v>
      </c>
      <c r="AP4" s="109" t="s">
        <v>28</v>
      </c>
      <c r="AQ4" s="198" t="s">
        <v>275</v>
      </c>
    </row>
    <row r="5" spans="1:43" x14ac:dyDescent="0.25">
      <c r="A5" s="111" t="s">
        <v>272</v>
      </c>
      <c r="C5" s="111" t="s">
        <v>276</v>
      </c>
      <c r="AN5" s="103"/>
      <c r="AO5" s="103"/>
      <c r="AQ5" s="111"/>
    </row>
    <row r="6" spans="1:43" x14ac:dyDescent="0.25">
      <c r="D6" s="112"/>
      <c r="E6" s="112"/>
      <c r="F6" s="111"/>
      <c r="H6" s="112"/>
      <c r="I6" s="112"/>
      <c r="J6" s="111"/>
      <c r="L6" s="112"/>
      <c r="M6" s="112"/>
      <c r="N6" s="111"/>
      <c r="P6" s="112"/>
      <c r="Q6" s="112"/>
      <c r="R6" s="111"/>
      <c r="T6" s="112"/>
      <c r="U6" s="112"/>
      <c r="V6" s="111"/>
      <c r="X6" s="112"/>
      <c r="Y6" s="112"/>
      <c r="Z6" s="111"/>
      <c r="AB6" s="112"/>
      <c r="AC6" s="112"/>
      <c r="AD6" s="111"/>
      <c r="AF6" s="218"/>
      <c r="AG6" s="112"/>
      <c r="AH6" s="111"/>
      <c r="AI6" s="111"/>
      <c r="AJ6" s="112"/>
      <c r="AK6" s="112"/>
      <c r="AL6" s="111"/>
      <c r="AN6" s="138"/>
      <c r="AO6" s="138"/>
      <c r="AP6" s="111"/>
      <c r="AQ6" s="211"/>
    </row>
    <row r="7" spans="1:43"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5">
        <f>SUM(AG6:AG6)</f>
        <v>0</v>
      </c>
      <c r="AH7" s="226"/>
      <c r="AI7" s="226"/>
      <c r="AJ7" s="225">
        <f>SUM(AJ6:AJ6)</f>
        <v>0</v>
      </c>
      <c r="AK7" s="225">
        <f>SUM(AK6:AK6)</f>
        <v>0</v>
      </c>
      <c r="AL7" s="226"/>
      <c r="AM7" s="224"/>
      <c r="AN7" s="227"/>
      <c r="AO7" s="225">
        <f>AN7-T7</f>
        <v>0</v>
      </c>
      <c r="AP7" s="226"/>
      <c r="AQ7" s="224"/>
    </row>
    <row r="8" spans="1:43" x14ac:dyDescent="0.25">
      <c r="D8" s="112"/>
      <c r="E8" s="112"/>
      <c r="F8" s="111"/>
      <c r="H8" s="112"/>
      <c r="I8" s="112"/>
      <c r="J8" s="111"/>
      <c r="L8" s="112"/>
      <c r="M8" s="112"/>
      <c r="N8" s="111"/>
      <c r="P8" s="112"/>
      <c r="Q8" s="112"/>
      <c r="R8" s="111"/>
      <c r="T8" s="112"/>
      <c r="U8" s="112"/>
      <c r="V8" s="111"/>
      <c r="X8" s="112"/>
      <c r="Y8" s="112"/>
      <c r="Z8" s="111"/>
      <c r="AB8" s="112"/>
      <c r="AC8" s="112"/>
      <c r="AD8" s="111"/>
      <c r="AF8" s="218"/>
      <c r="AG8" s="112"/>
      <c r="AH8" s="111"/>
      <c r="AI8" s="111"/>
      <c r="AJ8" s="112"/>
      <c r="AK8" s="112"/>
      <c r="AL8" s="111"/>
      <c r="AN8" s="138"/>
      <c r="AO8" s="138"/>
      <c r="AP8" s="111"/>
    </row>
    <row r="9" spans="1:43" x14ac:dyDescent="0.25">
      <c r="C9" s="111" t="s">
        <v>277</v>
      </c>
      <c r="D9" s="112"/>
      <c r="E9" s="112"/>
      <c r="F9" s="111"/>
      <c r="H9" s="112"/>
      <c r="I9" s="112"/>
      <c r="J9" s="111"/>
      <c r="L9" s="112"/>
      <c r="M9" s="112"/>
      <c r="N9" s="111"/>
      <c r="P9" s="112"/>
      <c r="Q9" s="112"/>
      <c r="R9" s="111"/>
      <c r="T9" s="112"/>
      <c r="U9" s="112"/>
      <c r="V9" s="111"/>
      <c r="X9" s="112"/>
      <c r="Y9" s="112"/>
      <c r="Z9" s="111"/>
      <c r="AB9" s="112"/>
      <c r="AC9" s="112"/>
      <c r="AD9" s="111"/>
      <c r="AF9" s="218"/>
      <c r="AG9" s="112"/>
      <c r="AH9" s="111"/>
      <c r="AI9" s="111"/>
      <c r="AJ9" s="112"/>
      <c r="AK9" s="112"/>
      <c r="AL9" s="111"/>
      <c r="AN9" s="138"/>
      <c r="AO9" s="138"/>
      <c r="AP9" s="111"/>
      <c r="AQ9" s="111"/>
    </row>
    <row r="10" spans="1:43" s="394" customFormat="1" ht="14.25" x14ac:dyDescent="0.3">
      <c r="A10" s="394" t="s">
        <v>844</v>
      </c>
      <c r="B10" s="395" t="str">
        <f>MID(A10,14,4)</f>
        <v>5692</v>
      </c>
      <c r="C10" s="394" t="s">
        <v>1915</v>
      </c>
      <c r="D10" s="112">
        <v>120146</v>
      </c>
      <c r="E10" s="112">
        <v>120146</v>
      </c>
      <c r="F10" s="111"/>
      <c r="G10" s="397"/>
      <c r="H10" s="112">
        <v>126331</v>
      </c>
      <c r="I10" s="112">
        <v>126331</v>
      </c>
      <c r="J10" s="111"/>
      <c r="K10" s="397"/>
      <c r="L10" s="112">
        <v>129376</v>
      </c>
      <c r="M10" s="112">
        <v>129376</v>
      </c>
      <c r="N10" s="111"/>
      <c r="O10" s="397"/>
      <c r="P10" s="112">
        <v>154661</v>
      </c>
      <c r="Q10" s="112">
        <v>154661</v>
      </c>
      <c r="R10" s="111"/>
      <c r="S10" s="397"/>
      <c r="T10" s="112">
        <v>176600</v>
      </c>
      <c r="U10" s="112">
        <v>176600</v>
      </c>
      <c r="V10" s="111"/>
      <c r="W10" s="397"/>
      <c r="X10" s="112">
        <v>173808</v>
      </c>
      <c r="Y10" s="112">
        <v>173808</v>
      </c>
      <c r="Z10" s="111"/>
      <c r="AA10" s="397"/>
      <c r="AB10" s="112">
        <v>173809</v>
      </c>
      <c r="AC10" s="112">
        <v>173809</v>
      </c>
      <c r="AD10" s="4">
        <f>(AB10-X10)/X10</f>
        <v>5.7534750989597715E-6</v>
      </c>
      <c r="AE10" s="397"/>
      <c r="AF10" s="388">
        <v>172197</v>
      </c>
      <c r="AG10" s="112">
        <v>172197</v>
      </c>
      <c r="AH10" s="4">
        <f>(AF10-AB10)/AB10</f>
        <v>-9.2745484986393109E-3</v>
      </c>
      <c r="AI10" s="396"/>
      <c r="AJ10" s="112">
        <v>182062</v>
      </c>
      <c r="AK10" s="112">
        <v>176462</v>
      </c>
      <c r="AL10" s="4">
        <f>(AJ10-AF10)/AF10</f>
        <v>5.7289035232901853E-2</v>
      </c>
      <c r="AM10" s="397"/>
      <c r="AN10" s="113">
        <v>169186</v>
      </c>
      <c r="AO10" s="218">
        <f>AN10-AJ10</f>
        <v>-12876</v>
      </c>
      <c r="AP10" s="4">
        <f>(AN10-AJ10)/AJ10</f>
        <v>-7.0723160242115321E-2</v>
      </c>
      <c r="AQ10" s="520" t="s">
        <v>2085</v>
      </c>
    </row>
    <row r="11" spans="1:43" ht="14.25" x14ac:dyDescent="0.3">
      <c r="A11" s="395" t="s">
        <v>1916</v>
      </c>
      <c r="B11" s="214"/>
      <c r="C11" s="394" t="s">
        <v>1917</v>
      </c>
      <c r="D11" s="112"/>
      <c r="E11" s="112"/>
      <c r="F11" s="111"/>
      <c r="H11" s="112"/>
      <c r="I11" s="112"/>
      <c r="J11" s="111"/>
      <c r="L11" s="112"/>
      <c r="M11" s="112"/>
      <c r="N11" s="111"/>
      <c r="P11" s="112"/>
      <c r="Q11" s="112"/>
      <c r="R11" s="111"/>
      <c r="T11" s="112"/>
      <c r="U11" s="112"/>
      <c r="V11" s="111"/>
      <c r="W11" s="213"/>
      <c r="X11" s="112"/>
      <c r="Y11" s="112"/>
      <c r="Z11" s="111"/>
      <c r="AA11" s="213"/>
      <c r="AB11" s="112"/>
      <c r="AC11" s="112"/>
      <c r="AD11" s="111"/>
      <c r="AF11" s="388"/>
      <c r="AG11" s="112"/>
      <c r="AH11" s="111"/>
      <c r="AI11" s="80"/>
      <c r="AJ11" s="112"/>
      <c r="AK11" s="112"/>
      <c r="AL11" s="4"/>
      <c r="AN11" s="113"/>
      <c r="AO11" s="138"/>
      <c r="AP11" s="4"/>
      <c r="AQ11" s="520" t="s">
        <v>1918</v>
      </c>
    </row>
    <row r="12" spans="1:43" s="114" customFormat="1" x14ac:dyDescent="0.25">
      <c r="A12" s="219"/>
      <c r="B12" s="219"/>
      <c r="C12" s="219" t="s">
        <v>279</v>
      </c>
      <c r="D12" s="401">
        <f>SUM(D10:D11)</f>
        <v>120146</v>
      </c>
      <c r="E12" s="401">
        <f>SUM(E10:E11)</f>
        <v>120146</v>
      </c>
      <c r="F12" s="221">
        <v>2.41E-2</v>
      </c>
      <c r="G12" s="219"/>
      <c r="H12" s="401">
        <f>SUM(H10:H11)</f>
        <v>126331</v>
      </c>
      <c r="I12" s="401">
        <f>SUM(I10:I11)</f>
        <v>126331</v>
      </c>
      <c r="J12" s="221">
        <f>(H12-D12)/D12</f>
        <v>5.1479033842158704E-2</v>
      </c>
      <c r="K12" s="219"/>
      <c r="L12" s="401">
        <f>SUM(L10:L11)</f>
        <v>129376</v>
      </c>
      <c r="M12" s="401">
        <f>SUM(M10:M11)</f>
        <v>129376</v>
      </c>
      <c r="N12" s="221">
        <f>(L12-H12)/H12</f>
        <v>2.4103347555231892E-2</v>
      </c>
      <c r="O12" s="219"/>
      <c r="P12" s="401">
        <f>SUM(P10:P11)</f>
        <v>154661</v>
      </c>
      <c r="Q12" s="401">
        <f>SUM(Q10:Q11)</f>
        <v>154661</v>
      </c>
      <c r="R12" s="221">
        <f>(P12-L12)/L12</f>
        <v>0.19543810289389069</v>
      </c>
      <c r="S12" s="219"/>
      <c r="T12" s="401">
        <f>SUM(T10:T11)</f>
        <v>176600</v>
      </c>
      <c r="U12" s="401">
        <f>SUM(U10:U11)</f>
        <v>176600</v>
      </c>
      <c r="V12" s="221">
        <f>(T12-P12)/P12</f>
        <v>0.14185217992900601</v>
      </c>
      <c r="W12" s="219"/>
      <c r="X12" s="401">
        <f>SUM(X10:X11)</f>
        <v>173808</v>
      </c>
      <c r="Y12" s="401">
        <f>SUM(Y10:Y11)</f>
        <v>173808</v>
      </c>
      <c r="Z12" s="222">
        <f>(X12-T12)/T12</f>
        <v>-1.5809739524348811E-2</v>
      </c>
      <c r="AA12" s="219"/>
      <c r="AB12" s="401">
        <f>SUM(AB10:AB11)</f>
        <v>173809</v>
      </c>
      <c r="AC12" s="220">
        <f>SUM(AC10:AC11)</f>
        <v>173809</v>
      </c>
      <c r="AD12" s="221">
        <f>(AB12-X12)/X12</f>
        <v>5.7534750989597715E-6</v>
      </c>
      <c r="AE12" s="219"/>
      <c r="AF12" s="382">
        <f>SUM(AF10:AF11)</f>
        <v>172197</v>
      </c>
      <c r="AG12" s="382">
        <f>SUM(AG10:AG11)</f>
        <v>172197</v>
      </c>
      <c r="AH12" s="221">
        <f>(AF12-AB12)/AB12</f>
        <v>-9.2745484986393109E-3</v>
      </c>
      <c r="AI12" s="221"/>
      <c r="AJ12" s="401">
        <f>SUM(AJ10:AJ11)</f>
        <v>182062</v>
      </c>
      <c r="AK12" s="401">
        <f>SUM(AK10:AK11)</f>
        <v>176462</v>
      </c>
      <c r="AL12" s="221">
        <f>(AJ12-AF12)/AF12</f>
        <v>5.7289035232901853E-2</v>
      </c>
      <c r="AM12" s="219"/>
      <c r="AN12" s="223">
        <f>SUM(AN10:AN11)</f>
        <v>169186</v>
      </c>
      <c r="AO12" s="223">
        <f>SUM(AO10:AO11)</f>
        <v>-12876</v>
      </c>
      <c r="AP12" s="221">
        <f>(AN12-AJ12)/AJ12</f>
        <v>-7.0723160242115321E-2</v>
      </c>
      <c r="AQ12" s="219"/>
    </row>
    <row r="13" spans="1:43" s="211" customFormat="1" x14ac:dyDescent="0.25">
      <c r="D13" s="112"/>
      <c r="E13" s="112"/>
      <c r="F13" s="216"/>
      <c r="G13" s="213"/>
      <c r="H13" s="112"/>
      <c r="I13" s="112"/>
      <c r="J13" s="216"/>
      <c r="K13" s="213"/>
      <c r="L13" s="112"/>
      <c r="M13" s="112"/>
      <c r="N13" s="216"/>
      <c r="O13" s="213"/>
      <c r="P13" s="112"/>
      <c r="Q13" s="112"/>
      <c r="R13" s="216"/>
      <c r="S13" s="213"/>
      <c r="T13" s="112"/>
      <c r="U13" s="112"/>
      <c r="V13" s="216"/>
      <c r="W13" s="213"/>
      <c r="X13" s="112"/>
      <c r="Y13" s="112"/>
      <c r="Z13" s="216"/>
      <c r="AA13" s="213"/>
      <c r="AB13" s="112"/>
      <c r="AC13" s="112"/>
      <c r="AD13" s="216"/>
      <c r="AE13" s="213"/>
      <c r="AF13" s="112"/>
      <c r="AG13" s="112"/>
      <c r="AH13" s="396"/>
      <c r="AI13" s="216"/>
      <c r="AJ13" s="112"/>
      <c r="AK13" s="112"/>
      <c r="AL13" s="396"/>
      <c r="AM13" s="397"/>
      <c r="AN13" s="212"/>
      <c r="AO13" s="212"/>
      <c r="AP13" s="396"/>
    </row>
    <row r="14" spans="1:43" s="114" customFormat="1" ht="12.75" x14ac:dyDescent="0.2">
      <c r="A14" s="228"/>
      <c r="B14" s="228"/>
      <c r="C14" s="233" t="s">
        <v>280</v>
      </c>
      <c r="D14" s="402">
        <f>D7+D12</f>
        <v>120146</v>
      </c>
      <c r="E14" s="402">
        <f>E7+E12</f>
        <v>120146</v>
      </c>
      <c r="F14" s="231">
        <v>2.41E-2</v>
      </c>
      <c r="G14" s="228"/>
      <c r="H14" s="402">
        <f>H7+H12</f>
        <v>126331</v>
      </c>
      <c r="I14" s="402">
        <f>I7+I12</f>
        <v>126331</v>
      </c>
      <c r="J14" s="231">
        <f>(H14-D14)/D14</f>
        <v>5.1479033842158704E-2</v>
      </c>
      <c r="K14" s="228"/>
      <c r="L14" s="402">
        <f>L7+L12</f>
        <v>129376</v>
      </c>
      <c r="M14" s="402">
        <f>M7+M12</f>
        <v>129376</v>
      </c>
      <c r="N14" s="231">
        <f>(L14-H14)/H14</f>
        <v>2.4103347555231892E-2</v>
      </c>
      <c r="O14" s="228"/>
      <c r="P14" s="402">
        <f>P7+P12</f>
        <v>154661</v>
      </c>
      <c r="Q14" s="402">
        <f>Q7+Q12</f>
        <v>154661</v>
      </c>
      <c r="R14" s="231">
        <f>(P14-L14)/L14</f>
        <v>0.19543810289389069</v>
      </c>
      <c r="S14" s="228"/>
      <c r="T14" s="402">
        <f>T7+T12</f>
        <v>176600</v>
      </c>
      <c r="U14" s="402">
        <f>U7+U12</f>
        <v>176600</v>
      </c>
      <c r="V14" s="231">
        <f>(T14-P14)/P14</f>
        <v>0.14185217992900601</v>
      </c>
      <c r="W14" s="228"/>
      <c r="X14" s="402">
        <f>X7+X12</f>
        <v>173808</v>
      </c>
      <c r="Y14" s="402">
        <f>Y7+Y12</f>
        <v>173808</v>
      </c>
      <c r="Z14" s="231">
        <f>(X14-T14)/T14</f>
        <v>-1.5809739524348811E-2</v>
      </c>
      <c r="AA14" s="228"/>
      <c r="AB14" s="230">
        <f>AB7+AB12</f>
        <v>173809</v>
      </c>
      <c r="AC14" s="230">
        <f>AC7+AC12</f>
        <v>173809</v>
      </c>
      <c r="AD14" s="231">
        <f>(AB14-X14)/X14</f>
        <v>5.7534750989597715E-6</v>
      </c>
      <c r="AE14" s="228"/>
      <c r="AF14" s="382">
        <f>AF7+AF12</f>
        <v>172197</v>
      </c>
      <c r="AG14" s="230">
        <f>AG7+AG12</f>
        <v>172197</v>
      </c>
      <c r="AH14" s="231">
        <f>(AF14-AB14)/AB14</f>
        <v>-9.2745484986393109E-3</v>
      </c>
      <c r="AI14" s="231"/>
      <c r="AJ14" s="402">
        <f>AJ7+AJ12</f>
        <v>182062</v>
      </c>
      <c r="AK14" s="402">
        <f>AK7+AK12</f>
        <v>176462</v>
      </c>
      <c r="AL14" s="231">
        <f>(AJ14-AF14)/AF14</f>
        <v>5.7289035232901853E-2</v>
      </c>
      <c r="AM14" s="228"/>
      <c r="AN14" s="232">
        <f>AN7+AN12</f>
        <v>169186</v>
      </c>
      <c r="AO14" s="230">
        <f>AO7+AO12</f>
        <v>-12876</v>
      </c>
      <c r="AP14" s="231">
        <f>(AN14-AJ14)/AJ14</f>
        <v>-7.0723160242115321E-2</v>
      </c>
      <c r="AQ14" s="233"/>
    </row>
    <row r="15" spans="1:43" ht="12" customHeight="1" x14ac:dyDescent="0.25">
      <c r="D15" s="120"/>
      <c r="H15" s="120"/>
      <c r="L15" s="120"/>
      <c r="P15" s="120"/>
      <c r="T15" s="120"/>
      <c r="X15" s="120"/>
      <c r="AB15" s="120"/>
      <c r="AF15" s="120"/>
      <c r="AJ15" s="403"/>
    </row>
    <row r="16" spans="1:43" s="111" customFormat="1" thickBot="1" x14ac:dyDescent="0.25">
      <c r="C16" s="111" t="s">
        <v>281</v>
      </c>
      <c r="D16" s="122"/>
      <c r="E16" s="121">
        <f>D14-E14</f>
        <v>0</v>
      </c>
      <c r="G16" s="118"/>
      <c r="H16" s="122"/>
      <c r="I16" s="121">
        <f>H14-I14</f>
        <v>0</v>
      </c>
      <c r="K16" s="118"/>
      <c r="L16" s="122"/>
      <c r="M16" s="121">
        <f>L14-M14</f>
        <v>0</v>
      </c>
      <c r="O16" s="118"/>
      <c r="P16" s="122"/>
      <c r="Q16" s="121">
        <f>P14-Q14</f>
        <v>0</v>
      </c>
      <c r="S16" s="118"/>
      <c r="T16" s="122"/>
      <c r="U16" s="121">
        <f>T14-U14</f>
        <v>0</v>
      </c>
      <c r="W16" s="118"/>
      <c r="X16" s="122"/>
      <c r="Y16" s="121">
        <f>X14-Y14</f>
        <v>0</v>
      </c>
      <c r="AA16" s="118"/>
      <c r="AB16" s="122"/>
      <c r="AC16" s="121">
        <f>AB14-AC14</f>
        <v>0</v>
      </c>
      <c r="AE16" s="118"/>
      <c r="AF16" s="122"/>
      <c r="AG16" s="121">
        <f>AF14-AG14</f>
        <v>0</v>
      </c>
      <c r="AJ16" s="122"/>
      <c r="AK16" s="121">
        <f>AJ14-AK14</f>
        <v>5600</v>
      </c>
      <c r="AM16" s="118"/>
      <c r="AN16" s="123"/>
      <c r="AO16" s="123"/>
    </row>
    <row r="17" spans="4:36" ht="14.25" thickTop="1" x14ac:dyDescent="0.25">
      <c r="D17" s="120"/>
      <c r="F17" s="111"/>
      <c r="H17" s="120"/>
      <c r="J17" s="111"/>
      <c r="L17" s="120"/>
      <c r="N17" s="111"/>
      <c r="P17" s="120"/>
      <c r="R17" s="111"/>
      <c r="T17" s="120"/>
      <c r="V17" s="111"/>
      <c r="X17" s="120"/>
      <c r="AB17" s="120"/>
      <c r="AF17" s="120"/>
      <c r="AJ17" s="403"/>
    </row>
    <row r="18" spans="4:36" x14ac:dyDescent="0.25">
      <c r="D18" s="120"/>
      <c r="F18" s="111"/>
      <c r="H18" s="120"/>
      <c r="J18" s="111"/>
      <c r="L18" s="120"/>
      <c r="N18" s="111"/>
      <c r="P18" s="120"/>
      <c r="R18" s="111"/>
      <c r="T18" s="120"/>
      <c r="V18" s="111"/>
      <c r="X18" s="120"/>
      <c r="AB18" s="120"/>
      <c r="AF18" s="120"/>
      <c r="AJ18" s="403"/>
    </row>
    <row r="19" spans="4:36" x14ac:dyDescent="0.25">
      <c r="D19" s="120"/>
      <c r="F19" s="111"/>
      <c r="H19" s="120"/>
      <c r="J19" s="111"/>
      <c r="L19" s="120"/>
      <c r="N19" s="111"/>
      <c r="P19" s="120"/>
      <c r="R19" s="111"/>
      <c r="T19" s="120"/>
      <c r="V19" s="111"/>
      <c r="X19" s="120"/>
      <c r="AB19" s="120"/>
      <c r="AF19" s="120"/>
      <c r="AJ19" s="403"/>
    </row>
    <row r="20" spans="4:36" x14ac:dyDescent="0.25">
      <c r="D20" s="120"/>
      <c r="F20" s="111"/>
      <c r="H20" s="120"/>
      <c r="J20" s="111"/>
      <c r="L20" s="120"/>
      <c r="N20" s="111"/>
      <c r="P20" s="120"/>
      <c r="R20" s="111"/>
      <c r="T20" s="120"/>
      <c r="V20" s="111"/>
      <c r="X20" s="120"/>
      <c r="AB20" s="120"/>
      <c r="AF20" s="120"/>
      <c r="AJ20" s="403"/>
    </row>
    <row r="21" spans="4:36" x14ac:dyDescent="0.25">
      <c r="D21" s="120"/>
      <c r="F21" s="111"/>
      <c r="H21" s="120"/>
      <c r="J21" s="111"/>
      <c r="L21" s="120"/>
      <c r="N21" s="111"/>
      <c r="P21" s="120"/>
      <c r="R21" s="111"/>
      <c r="T21" s="120"/>
      <c r="V21" s="111"/>
      <c r="X21" s="120"/>
      <c r="AB21" s="120"/>
      <c r="AF21" s="120"/>
      <c r="AJ21" s="403"/>
    </row>
    <row r="22" spans="4:36" x14ac:dyDescent="0.25">
      <c r="D22" s="120"/>
      <c r="F22" s="111"/>
      <c r="H22" s="120"/>
      <c r="J22" s="111"/>
      <c r="L22" s="120"/>
      <c r="N22" s="111"/>
      <c r="P22" s="120"/>
      <c r="R22" s="111"/>
      <c r="T22" s="120"/>
      <c r="V22" s="111"/>
      <c r="X22" s="120"/>
      <c r="AB22" s="120"/>
      <c r="AF22" s="120"/>
      <c r="AJ22" s="403"/>
    </row>
    <row r="23" spans="4:36" x14ac:dyDescent="0.25">
      <c r="D23" s="120"/>
      <c r="F23" s="111"/>
      <c r="H23" s="120"/>
      <c r="J23" s="111"/>
      <c r="L23" s="120"/>
      <c r="N23" s="111"/>
      <c r="P23" s="120"/>
      <c r="R23" s="111"/>
      <c r="T23" s="120"/>
      <c r="V23" s="111"/>
      <c r="X23" s="120"/>
      <c r="AB23" s="120"/>
      <c r="AF23" s="120"/>
      <c r="AJ23" s="403"/>
    </row>
    <row r="24" spans="4:36" x14ac:dyDescent="0.25">
      <c r="D24" s="120"/>
      <c r="F24" s="111"/>
      <c r="H24" s="120"/>
      <c r="J24" s="111"/>
      <c r="L24" s="120"/>
      <c r="N24" s="111"/>
      <c r="P24" s="120"/>
      <c r="R24" s="111"/>
      <c r="T24" s="120"/>
      <c r="V24" s="111"/>
      <c r="X24" s="120"/>
      <c r="AB24" s="120"/>
      <c r="AF24" s="120"/>
      <c r="AJ24" s="403"/>
    </row>
    <row r="25" spans="4:36" x14ac:dyDescent="0.25">
      <c r="D25" s="120"/>
      <c r="F25" s="111"/>
      <c r="H25" s="120"/>
      <c r="J25" s="111"/>
      <c r="L25" s="120"/>
      <c r="N25" s="111"/>
      <c r="P25" s="120"/>
      <c r="R25" s="111"/>
      <c r="T25" s="120"/>
      <c r="V25" s="111"/>
      <c r="X25" s="120"/>
      <c r="AB25" s="120"/>
      <c r="AF25" s="120"/>
      <c r="AJ25" s="403"/>
    </row>
    <row r="26" spans="4:36" x14ac:dyDescent="0.25">
      <c r="D26" s="120"/>
      <c r="F26" s="111"/>
      <c r="H26" s="120"/>
      <c r="J26" s="111"/>
      <c r="L26" s="120"/>
      <c r="N26" s="111"/>
      <c r="P26" s="120"/>
      <c r="R26" s="111"/>
      <c r="T26" s="120"/>
      <c r="V26" s="111"/>
      <c r="X26" s="120"/>
      <c r="AB26" s="120"/>
      <c r="AF26" s="120"/>
      <c r="AJ26" s="403"/>
    </row>
    <row r="27" spans="4:36" x14ac:dyDescent="0.25">
      <c r="D27" s="120"/>
      <c r="F27" s="111"/>
      <c r="H27" s="120"/>
      <c r="J27" s="111"/>
      <c r="L27" s="120"/>
      <c r="N27" s="111"/>
      <c r="P27" s="120"/>
      <c r="R27" s="111"/>
      <c r="T27" s="120"/>
      <c r="V27" s="111"/>
      <c r="X27" s="120"/>
      <c r="AB27" s="120"/>
      <c r="AF27" s="120"/>
      <c r="AJ27" s="403"/>
    </row>
    <row r="28" spans="4:36" x14ac:dyDescent="0.25">
      <c r="D28" s="120"/>
      <c r="F28" s="111"/>
      <c r="H28" s="120"/>
      <c r="J28" s="111"/>
      <c r="L28" s="120"/>
      <c r="N28" s="111"/>
      <c r="P28" s="120"/>
      <c r="R28" s="111"/>
      <c r="T28" s="120"/>
      <c r="V28" s="111"/>
      <c r="X28" s="120"/>
      <c r="AB28" s="120"/>
      <c r="AF28" s="120"/>
      <c r="AJ28" s="403"/>
    </row>
    <row r="29" spans="4:36" x14ac:dyDescent="0.25">
      <c r="D29" s="120"/>
      <c r="F29" s="111"/>
      <c r="H29" s="120"/>
      <c r="J29" s="111"/>
      <c r="L29" s="120"/>
      <c r="N29" s="111"/>
      <c r="P29" s="120"/>
      <c r="R29" s="111"/>
      <c r="T29" s="120"/>
      <c r="V29" s="111"/>
      <c r="X29" s="120"/>
      <c r="AB29" s="120"/>
      <c r="AF29" s="120"/>
      <c r="AJ29" s="403"/>
    </row>
    <row r="30" spans="4:36" x14ac:dyDescent="0.25">
      <c r="D30" s="120"/>
      <c r="F30" s="111"/>
      <c r="H30" s="120"/>
      <c r="J30" s="111"/>
      <c r="L30" s="120"/>
      <c r="N30" s="111"/>
      <c r="P30" s="120"/>
      <c r="R30" s="111"/>
      <c r="T30" s="120"/>
      <c r="V30" s="111"/>
      <c r="X30" s="120"/>
      <c r="AB30" s="120"/>
      <c r="AF30" s="120"/>
      <c r="AJ30" s="403"/>
    </row>
    <row r="31" spans="4:36" x14ac:dyDescent="0.25">
      <c r="D31" s="120"/>
      <c r="F31" s="111"/>
      <c r="H31" s="120"/>
      <c r="J31" s="111"/>
      <c r="L31" s="120"/>
      <c r="N31" s="111"/>
      <c r="P31" s="120"/>
      <c r="R31" s="111"/>
      <c r="T31" s="120"/>
      <c r="V31" s="111"/>
      <c r="X31" s="120"/>
      <c r="AB31" s="120"/>
      <c r="AF31" s="120"/>
      <c r="AJ31" s="403"/>
    </row>
    <row r="32" spans="4:36" x14ac:dyDescent="0.25">
      <c r="D32" s="120"/>
      <c r="F32" s="111"/>
      <c r="H32" s="120"/>
      <c r="J32" s="111"/>
      <c r="L32" s="120"/>
      <c r="N32" s="111"/>
      <c r="P32" s="120"/>
      <c r="R32" s="111"/>
      <c r="T32" s="120"/>
      <c r="V32" s="111"/>
      <c r="X32" s="120"/>
      <c r="AB32" s="120"/>
      <c r="AF32" s="120"/>
      <c r="AJ32" s="403"/>
    </row>
    <row r="33" spans="4:36" x14ac:dyDescent="0.25">
      <c r="D33" s="120"/>
      <c r="F33" s="111"/>
      <c r="H33" s="120"/>
      <c r="J33" s="111"/>
      <c r="L33" s="120"/>
      <c r="N33" s="111"/>
      <c r="P33" s="120"/>
      <c r="R33" s="111"/>
      <c r="T33" s="120"/>
      <c r="V33" s="111"/>
      <c r="X33" s="120"/>
      <c r="AB33" s="120"/>
      <c r="AF33" s="120"/>
      <c r="AJ33" s="403"/>
    </row>
    <row r="34" spans="4:36" x14ac:dyDescent="0.25">
      <c r="D34" s="120"/>
      <c r="F34" s="111"/>
      <c r="H34" s="120"/>
      <c r="J34" s="111"/>
      <c r="L34" s="120"/>
      <c r="N34" s="111"/>
      <c r="P34" s="120"/>
      <c r="R34" s="111"/>
      <c r="T34" s="120"/>
      <c r="V34" s="111"/>
      <c r="X34" s="120"/>
      <c r="AB34" s="120"/>
      <c r="AF34" s="120"/>
      <c r="AJ34" s="403"/>
    </row>
    <row r="35" spans="4:36" x14ac:dyDescent="0.25">
      <c r="D35" s="120"/>
      <c r="F35" s="111"/>
      <c r="H35" s="120"/>
      <c r="J35" s="111"/>
      <c r="L35" s="120"/>
      <c r="N35" s="111"/>
      <c r="P35" s="120"/>
      <c r="R35" s="111"/>
      <c r="T35" s="120"/>
      <c r="V35" s="111"/>
      <c r="X35" s="120"/>
      <c r="AB35" s="120"/>
      <c r="AF35" s="120"/>
      <c r="AJ35" s="403"/>
    </row>
    <row r="36" spans="4:36" x14ac:dyDescent="0.25">
      <c r="D36" s="120"/>
      <c r="F36" s="111"/>
      <c r="H36" s="120"/>
      <c r="J36" s="111"/>
      <c r="L36" s="120"/>
      <c r="N36" s="111"/>
      <c r="P36" s="120"/>
      <c r="R36" s="111"/>
      <c r="T36" s="120"/>
      <c r="V36" s="111"/>
      <c r="X36" s="120"/>
      <c r="AB36" s="120"/>
      <c r="AF36" s="120"/>
      <c r="AJ36" s="403"/>
    </row>
    <row r="37" spans="4:36" x14ac:dyDescent="0.25">
      <c r="D37" s="120"/>
      <c r="F37" s="111"/>
      <c r="H37" s="120"/>
      <c r="J37" s="111"/>
      <c r="L37" s="120"/>
      <c r="N37" s="111"/>
      <c r="P37" s="120"/>
      <c r="R37" s="111"/>
      <c r="T37" s="120"/>
      <c r="V37" s="111"/>
      <c r="X37" s="120"/>
      <c r="AB37" s="120"/>
      <c r="AF37" s="120"/>
      <c r="AJ37" s="403"/>
    </row>
    <row r="38" spans="4:36" x14ac:dyDescent="0.25">
      <c r="D38" s="120"/>
      <c r="F38" s="111"/>
      <c r="H38" s="120"/>
      <c r="J38" s="111"/>
      <c r="L38" s="120"/>
      <c r="N38" s="111"/>
      <c r="P38" s="120"/>
      <c r="R38" s="111"/>
      <c r="T38" s="120"/>
      <c r="V38" s="111"/>
      <c r="X38" s="120"/>
      <c r="AB38" s="120"/>
      <c r="AF38" s="120"/>
      <c r="AJ38" s="403"/>
    </row>
    <row r="39" spans="4:36" x14ac:dyDescent="0.25">
      <c r="D39" s="120"/>
      <c r="F39" s="111"/>
      <c r="H39" s="120"/>
      <c r="J39" s="111"/>
      <c r="L39" s="120"/>
      <c r="N39" s="111"/>
      <c r="P39" s="120"/>
      <c r="R39" s="111"/>
      <c r="T39" s="120"/>
      <c r="V39" s="111"/>
      <c r="X39" s="120"/>
      <c r="AB39" s="120"/>
      <c r="AF39" s="120"/>
      <c r="AJ39" s="403"/>
    </row>
    <row r="40" spans="4:36" x14ac:dyDescent="0.25">
      <c r="D40" s="120"/>
      <c r="F40" s="111"/>
      <c r="H40" s="120"/>
      <c r="J40" s="111"/>
      <c r="L40" s="120"/>
      <c r="N40" s="111"/>
      <c r="P40" s="120"/>
      <c r="R40" s="111"/>
      <c r="T40" s="120"/>
      <c r="V40" s="111"/>
      <c r="X40" s="120"/>
      <c r="AB40" s="120"/>
      <c r="AF40" s="120"/>
      <c r="AJ40" s="403"/>
    </row>
    <row r="41" spans="4:36" x14ac:dyDescent="0.25">
      <c r="D41" s="120"/>
      <c r="H41" s="120"/>
      <c r="L41" s="120"/>
      <c r="P41" s="120"/>
      <c r="T41" s="120"/>
      <c r="X41" s="120"/>
      <c r="AB41" s="120"/>
      <c r="AF41" s="120"/>
      <c r="AJ41" s="403"/>
    </row>
    <row r="42" spans="4:36" x14ac:dyDescent="0.25">
      <c r="D42" s="120"/>
      <c r="H42" s="120"/>
      <c r="L42" s="120"/>
      <c r="P42" s="120"/>
      <c r="T42" s="120"/>
      <c r="X42" s="120"/>
      <c r="AB42" s="120"/>
      <c r="AF42" s="120"/>
      <c r="AJ42" s="403"/>
    </row>
    <row r="43" spans="4:36" x14ac:dyDescent="0.25">
      <c r="D43" s="120"/>
      <c r="H43" s="120"/>
      <c r="L43" s="120"/>
      <c r="P43" s="120"/>
      <c r="T43" s="120"/>
      <c r="X43" s="120"/>
      <c r="AB43" s="120"/>
      <c r="AF43" s="120"/>
      <c r="AJ43" s="403"/>
    </row>
    <row r="44" spans="4:36" x14ac:dyDescent="0.25">
      <c r="D44" s="120"/>
      <c r="H44" s="120"/>
      <c r="L44" s="120"/>
      <c r="P44" s="120"/>
      <c r="T44" s="120"/>
      <c r="X44" s="120"/>
      <c r="AB44" s="120"/>
      <c r="AF44" s="120"/>
      <c r="AJ44" s="403"/>
    </row>
    <row r="45" spans="4:36" x14ac:dyDescent="0.25">
      <c r="D45" s="120"/>
      <c r="H45" s="120"/>
      <c r="L45" s="120"/>
      <c r="P45" s="120"/>
      <c r="T45" s="120"/>
      <c r="X45" s="120"/>
      <c r="AB45" s="120"/>
      <c r="AF45" s="120"/>
      <c r="AJ45" s="403"/>
    </row>
    <row r="46" spans="4:36" x14ac:dyDescent="0.25">
      <c r="D46" s="120"/>
      <c r="H46" s="120"/>
      <c r="L46" s="120"/>
      <c r="P46" s="120"/>
      <c r="T46" s="120"/>
      <c r="X46" s="120"/>
      <c r="AB46" s="120"/>
      <c r="AF46" s="120"/>
      <c r="AJ46" s="403"/>
    </row>
    <row r="47" spans="4:36" x14ac:dyDescent="0.25">
      <c r="D47" s="120"/>
      <c r="H47" s="120"/>
      <c r="L47" s="120"/>
      <c r="P47" s="120"/>
      <c r="T47" s="120"/>
      <c r="X47" s="120"/>
      <c r="AB47" s="120"/>
      <c r="AF47" s="120"/>
      <c r="AJ47" s="403"/>
    </row>
    <row r="48" spans="4:36" x14ac:dyDescent="0.25">
      <c r="D48" s="120"/>
      <c r="H48" s="120"/>
      <c r="L48" s="120"/>
      <c r="P48" s="120"/>
      <c r="T48" s="120"/>
      <c r="X48" s="120"/>
      <c r="AB48" s="120"/>
      <c r="AF48" s="120"/>
      <c r="AJ48" s="403"/>
    </row>
    <row r="49" spans="4:36" x14ac:dyDescent="0.25">
      <c r="D49" s="120"/>
      <c r="H49" s="120"/>
      <c r="L49" s="120"/>
      <c r="P49" s="120"/>
      <c r="T49" s="120"/>
      <c r="X49" s="120"/>
      <c r="AB49" s="120"/>
      <c r="AF49" s="120"/>
      <c r="AJ49" s="403"/>
    </row>
    <row r="50" spans="4:36" x14ac:dyDescent="0.25">
      <c r="D50" s="120"/>
      <c r="H50" s="120"/>
      <c r="L50" s="120"/>
      <c r="P50" s="120"/>
      <c r="T50" s="120"/>
      <c r="X50" s="120"/>
      <c r="AB50" s="120"/>
      <c r="AF50" s="120"/>
      <c r="AJ50" s="403"/>
    </row>
    <row r="51" spans="4:36" x14ac:dyDescent="0.25">
      <c r="D51" s="120"/>
      <c r="H51" s="120"/>
      <c r="L51" s="120"/>
      <c r="P51" s="120"/>
      <c r="T51" s="120"/>
      <c r="X51" s="120"/>
      <c r="AB51" s="120"/>
      <c r="AF51" s="120"/>
      <c r="AJ51" s="403"/>
    </row>
    <row r="52" spans="4:36" x14ac:dyDescent="0.25">
      <c r="D52" s="120"/>
      <c r="H52" s="120"/>
      <c r="L52" s="120"/>
      <c r="P52" s="120"/>
      <c r="T52" s="120"/>
      <c r="X52" s="120"/>
      <c r="AB52" s="120"/>
      <c r="AF52" s="120"/>
      <c r="AJ52" s="403"/>
    </row>
    <row r="53" spans="4:36" x14ac:dyDescent="0.25">
      <c r="D53" s="120"/>
      <c r="H53" s="120"/>
      <c r="L53" s="120"/>
      <c r="P53" s="120"/>
      <c r="T53" s="120"/>
      <c r="X53" s="120"/>
      <c r="AB53" s="120"/>
      <c r="AF53" s="120"/>
      <c r="AJ53" s="403"/>
    </row>
    <row r="54" spans="4:36" x14ac:dyDescent="0.25">
      <c r="D54" s="120"/>
      <c r="H54" s="120"/>
      <c r="L54" s="120"/>
      <c r="P54" s="120"/>
      <c r="T54" s="120"/>
      <c r="X54" s="120"/>
      <c r="AB54" s="120"/>
      <c r="AF54" s="120"/>
      <c r="AJ54" s="403"/>
    </row>
    <row r="55" spans="4:36" x14ac:dyDescent="0.25">
      <c r="D55" s="120"/>
      <c r="H55" s="120"/>
      <c r="L55" s="120"/>
      <c r="P55" s="120"/>
      <c r="T55" s="120"/>
      <c r="X55" s="120"/>
      <c r="AB55" s="120"/>
      <c r="AF55" s="120"/>
      <c r="AJ55" s="403"/>
    </row>
    <row r="56" spans="4:36" x14ac:dyDescent="0.25">
      <c r="D56" s="120"/>
      <c r="H56" s="120"/>
      <c r="L56" s="120"/>
      <c r="P56" s="120"/>
      <c r="T56" s="120"/>
      <c r="X56" s="120"/>
      <c r="AB56" s="120"/>
      <c r="AF56" s="120"/>
      <c r="AJ56" s="403"/>
    </row>
    <row r="57" spans="4:36" x14ac:dyDescent="0.25">
      <c r="D57" s="120"/>
      <c r="H57" s="120"/>
      <c r="L57" s="120"/>
      <c r="P57" s="120"/>
      <c r="T57" s="120"/>
      <c r="X57" s="120"/>
      <c r="AB57" s="120"/>
      <c r="AF57" s="120"/>
      <c r="AJ57" s="403"/>
    </row>
    <row r="58" spans="4:36" x14ac:dyDescent="0.25">
      <c r="D58" s="120"/>
      <c r="H58" s="120"/>
      <c r="L58" s="120"/>
      <c r="P58" s="120"/>
      <c r="T58" s="120"/>
      <c r="X58" s="120"/>
      <c r="AB58" s="120"/>
      <c r="AF58" s="120"/>
      <c r="AJ58" s="403"/>
    </row>
    <row r="59" spans="4:36" x14ac:dyDescent="0.25">
      <c r="D59" s="120"/>
      <c r="H59" s="120"/>
      <c r="L59" s="120"/>
      <c r="P59" s="120"/>
      <c r="T59" s="120"/>
      <c r="X59" s="120"/>
      <c r="AB59" s="120"/>
      <c r="AF59" s="120"/>
      <c r="AJ59" s="403"/>
    </row>
    <row r="60" spans="4:36" x14ac:dyDescent="0.25">
      <c r="D60" s="120"/>
      <c r="H60" s="120"/>
      <c r="L60" s="120"/>
      <c r="P60" s="120"/>
      <c r="T60" s="120"/>
      <c r="X60" s="120"/>
      <c r="AB60" s="120"/>
      <c r="AF60" s="120"/>
      <c r="AJ60" s="403"/>
    </row>
    <row r="61" spans="4:36" x14ac:dyDescent="0.25">
      <c r="D61" s="120"/>
      <c r="H61" s="120"/>
      <c r="L61" s="120"/>
      <c r="P61" s="120"/>
      <c r="T61" s="120"/>
      <c r="X61" s="120"/>
      <c r="AB61" s="120"/>
      <c r="AF61" s="120"/>
      <c r="AJ61" s="403"/>
    </row>
    <row r="62" spans="4:36" x14ac:dyDescent="0.25">
      <c r="D62" s="120"/>
      <c r="H62" s="120"/>
      <c r="L62" s="120"/>
      <c r="P62" s="120"/>
      <c r="T62" s="120"/>
      <c r="X62" s="120"/>
      <c r="AB62" s="120"/>
      <c r="AF62" s="120"/>
      <c r="AJ62" s="403"/>
    </row>
    <row r="63" spans="4:36" x14ac:dyDescent="0.25">
      <c r="D63" s="120"/>
      <c r="H63" s="120"/>
      <c r="L63" s="120"/>
      <c r="P63" s="120"/>
      <c r="T63" s="120"/>
      <c r="X63" s="120"/>
      <c r="AB63" s="120"/>
      <c r="AF63" s="120"/>
      <c r="AJ63" s="403"/>
    </row>
    <row r="64" spans="4:36" x14ac:dyDescent="0.25">
      <c r="D64" s="120"/>
      <c r="H64" s="120"/>
      <c r="L64" s="120"/>
      <c r="P64" s="120"/>
      <c r="T64" s="120"/>
      <c r="X64" s="120"/>
      <c r="AB64" s="120"/>
      <c r="AF64" s="120"/>
      <c r="AJ64" s="403"/>
    </row>
    <row r="65" spans="4:36" x14ac:dyDescent="0.25">
      <c r="D65" s="120"/>
      <c r="H65" s="120"/>
      <c r="L65" s="120"/>
      <c r="P65" s="120"/>
      <c r="T65" s="120"/>
      <c r="X65" s="120"/>
      <c r="AB65" s="120"/>
      <c r="AF65" s="120"/>
      <c r="AJ65" s="403"/>
    </row>
    <row r="66" spans="4:36" x14ac:dyDescent="0.25">
      <c r="D66" s="120"/>
      <c r="H66" s="120"/>
      <c r="L66" s="120"/>
      <c r="P66" s="120"/>
      <c r="T66" s="120"/>
      <c r="X66" s="120"/>
      <c r="AB66" s="120"/>
      <c r="AF66" s="120"/>
      <c r="AJ66" s="403"/>
    </row>
    <row r="67" spans="4:36" x14ac:dyDescent="0.25">
      <c r="D67" s="120"/>
      <c r="H67" s="120"/>
      <c r="L67" s="120"/>
      <c r="P67" s="120"/>
      <c r="T67" s="120"/>
      <c r="X67" s="120"/>
      <c r="AB67" s="120"/>
      <c r="AF67" s="120"/>
      <c r="AJ67" s="403"/>
    </row>
    <row r="68" spans="4:36" x14ac:dyDescent="0.25">
      <c r="D68" s="120"/>
      <c r="H68" s="120"/>
      <c r="L68" s="120"/>
      <c r="P68" s="120"/>
      <c r="T68" s="120"/>
      <c r="X68" s="120"/>
      <c r="AB68" s="120"/>
      <c r="AF68" s="120"/>
      <c r="AJ68" s="403"/>
    </row>
    <row r="69" spans="4:36" x14ac:dyDescent="0.25">
      <c r="D69" s="120"/>
      <c r="H69" s="120"/>
      <c r="L69" s="120"/>
      <c r="P69" s="120"/>
      <c r="T69" s="120"/>
      <c r="X69" s="120"/>
      <c r="AB69" s="120"/>
      <c r="AF69" s="120"/>
      <c r="AJ69" s="403"/>
    </row>
    <row r="70" spans="4:36" x14ac:dyDescent="0.25">
      <c r="D70" s="120"/>
      <c r="H70" s="120"/>
      <c r="L70" s="120"/>
      <c r="P70" s="120"/>
      <c r="T70" s="120"/>
      <c r="X70" s="120"/>
      <c r="AB70" s="120"/>
      <c r="AF70" s="120"/>
      <c r="AJ70" s="403"/>
    </row>
    <row r="71" spans="4:36" x14ac:dyDescent="0.25">
      <c r="D71" s="120"/>
      <c r="H71" s="120"/>
      <c r="L71" s="120"/>
      <c r="P71" s="120"/>
      <c r="T71" s="120"/>
      <c r="X71" s="120"/>
      <c r="AB71" s="120"/>
      <c r="AF71" s="120"/>
      <c r="AJ71" s="403"/>
    </row>
    <row r="72" spans="4:36" x14ac:dyDescent="0.25">
      <c r="D72" s="120"/>
      <c r="H72" s="120"/>
      <c r="L72" s="120"/>
      <c r="P72" s="120"/>
      <c r="T72" s="120"/>
      <c r="X72" s="120"/>
      <c r="AB72" s="120"/>
      <c r="AF72" s="120"/>
      <c r="AJ72" s="403"/>
    </row>
    <row r="73" spans="4:36" x14ac:dyDescent="0.25">
      <c r="D73" s="120"/>
      <c r="H73" s="120"/>
      <c r="L73" s="120"/>
      <c r="P73" s="120"/>
      <c r="T73" s="120"/>
      <c r="X73" s="120"/>
      <c r="AB73" s="120"/>
      <c r="AF73" s="120"/>
      <c r="AJ73" s="403"/>
    </row>
    <row r="74" spans="4:36" x14ac:dyDescent="0.25">
      <c r="D74" s="120"/>
      <c r="H74" s="120"/>
      <c r="L74" s="120"/>
      <c r="P74" s="120"/>
      <c r="T74" s="120"/>
      <c r="X74" s="120"/>
      <c r="AB74" s="120"/>
      <c r="AF74" s="120"/>
      <c r="AJ74" s="403"/>
    </row>
    <row r="75" spans="4:36" x14ac:dyDescent="0.25">
      <c r="D75" s="120"/>
      <c r="H75" s="120"/>
      <c r="L75" s="120"/>
      <c r="P75" s="120"/>
      <c r="T75" s="120"/>
      <c r="X75" s="120"/>
      <c r="AB75" s="120"/>
      <c r="AF75" s="120"/>
      <c r="AJ75" s="403"/>
    </row>
    <row r="76" spans="4:36" x14ac:dyDescent="0.25">
      <c r="D76" s="120"/>
      <c r="H76" s="120"/>
      <c r="L76" s="120"/>
      <c r="P76" s="120"/>
      <c r="T76" s="120"/>
      <c r="X76" s="120"/>
      <c r="AB76" s="120"/>
      <c r="AF76" s="120"/>
      <c r="AJ76" s="403"/>
    </row>
    <row r="77" spans="4:36" x14ac:dyDescent="0.25">
      <c r="D77" s="120"/>
      <c r="H77" s="120"/>
      <c r="L77" s="120"/>
      <c r="P77" s="120"/>
      <c r="T77" s="120"/>
      <c r="X77" s="120"/>
      <c r="AB77" s="120"/>
      <c r="AF77" s="120"/>
      <c r="AJ77" s="403"/>
    </row>
    <row r="78" spans="4:36" x14ac:dyDescent="0.25">
      <c r="D78" s="120"/>
      <c r="H78" s="120"/>
      <c r="L78" s="120"/>
      <c r="P78" s="120"/>
      <c r="T78" s="120"/>
      <c r="X78" s="120"/>
      <c r="AB78" s="120"/>
      <c r="AF78" s="120"/>
      <c r="AJ78" s="403"/>
    </row>
    <row r="79" spans="4:36" x14ac:dyDescent="0.25">
      <c r="D79" s="120"/>
      <c r="H79" s="120"/>
      <c r="L79" s="120"/>
      <c r="P79" s="120"/>
      <c r="T79" s="120"/>
      <c r="X79" s="120"/>
      <c r="AB79" s="120"/>
      <c r="AF79" s="120"/>
      <c r="AJ79" s="403"/>
    </row>
    <row r="80" spans="4:36" x14ac:dyDescent="0.25">
      <c r="D80" s="120"/>
      <c r="H80" s="120"/>
      <c r="L80" s="120"/>
      <c r="P80" s="120"/>
      <c r="T80" s="120"/>
      <c r="X80" s="120"/>
      <c r="AB80" s="120"/>
      <c r="AF80" s="120"/>
      <c r="AJ80" s="403"/>
    </row>
    <row r="81" spans="4:36" x14ac:dyDescent="0.25">
      <c r="D81" s="120"/>
      <c r="H81" s="120"/>
      <c r="L81" s="120"/>
      <c r="P81" s="120"/>
      <c r="T81" s="120"/>
      <c r="X81" s="120"/>
      <c r="AB81" s="120"/>
      <c r="AF81" s="120"/>
      <c r="AJ81" s="403"/>
    </row>
    <row r="82" spans="4:36" x14ac:dyDescent="0.25">
      <c r="D82" s="120"/>
      <c r="H82" s="120"/>
      <c r="L82" s="120"/>
      <c r="P82" s="120"/>
      <c r="T82" s="120"/>
      <c r="X82" s="120"/>
      <c r="AB82" s="120"/>
      <c r="AF82" s="120"/>
      <c r="AJ82" s="403"/>
    </row>
    <row r="83" spans="4:36" x14ac:dyDescent="0.25">
      <c r="D83" s="120"/>
      <c r="H83" s="120"/>
      <c r="L83" s="120"/>
      <c r="P83" s="120"/>
      <c r="T83" s="120"/>
      <c r="X83" s="120"/>
      <c r="AB83" s="120"/>
      <c r="AF83" s="120"/>
      <c r="AJ83" s="403"/>
    </row>
    <row r="84" spans="4:36" x14ac:dyDescent="0.25">
      <c r="D84" s="120"/>
      <c r="H84" s="120"/>
      <c r="L84" s="120"/>
      <c r="P84" s="120"/>
      <c r="T84" s="120"/>
      <c r="X84" s="120"/>
      <c r="AB84" s="120"/>
      <c r="AF84" s="120"/>
      <c r="AJ84" s="403"/>
    </row>
    <row r="85" spans="4:36" x14ac:dyDescent="0.25">
      <c r="D85" s="120"/>
      <c r="H85" s="120"/>
      <c r="L85" s="120"/>
      <c r="P85" s="120"/>
      <c r="T85" s="120"/>
      <c r="X85" s="120"/>
      <c r="AB85" s="120"/>
      <c r="AF85" s="120"/>
      <c r="AJ85" s="403"/>
    </row>
    <row r="86" spans="4:36" x14ac:dyDescent="0.25">
      <c r="D86" s="120"/>
      <c r="H86" s="120"/>
      <c r="L86" s="120"/>
      <c r="P86" s="120"/>
      <c r="T86" s="120"/>
      <c r="X86" s="120"/>
      <c r="AB86" s="120"/>
      <c r="AF86" s="120"/>
      <c r="AJ86" s="403"/>
    </row>
    <row r="87" spans="4:36" x14ac:dyDescent="0.25">
      <c r="D87" s="120"/>
      <c r="H87" s="120"/>
      <c r="L87" s="120"/>
      <c r="P87" s="120"/>
      <c r="T87" s="120"/>
      <c r="X87" s="120"/>
      <c r="AB87" s="120"/>
      <c r="AF87" s="120"/>
      <c r="AJ87" s="403"/>
    </row>
    <row r="88" spans="4:36" x14ac:dyDescent="0.25">
      <c r="D88" s="120"/>
      <c r="H88" s="120"/>
      <c r="L88" s="120"/>
      <c r="P88" s="120"/>
      <c r="T88" s="120"/>
      <c r="X88" s="120"/>
      <c r="AB88" s="120"/>
      <c r="AF88" s="120"/>
      <c r="AJ88" s="403"/>
    </row>
    <row r="89" spans="4:36" x14ac:dyDescent="0.25">
      <c r="D89" s="120"/>
      <c r="H89" s="120"/>
      <c r="L89" s="120"/>
      <c r="P89" s="120"/>
      <c r="T89" s="120"/>
      <c r="X89" s="120"/>
      <c r="AB89" s="120"/>
      <c r="AF89" s="120"/>
      <c r="AJ89" s="403"/>
    </row>
    <row r="90" spans="4:36" x14ac:dyDescent="0.25">
      <c r="D90" s="120"/>
      <c r="H90" s="120"/>
      <c r="L90" s="120"/>
      <c r="P90" s="120"/>
      <c r="T90" s="120"/>
      <c r="X90" s="120"/>
      <c r="AB90" s="120"/>
      <c r="AF90" s="120"/>
      <c r="AJ90" s="403"/>
    </row>
    <row r="91" spans="4:36" x14ac:dyDescent="0.25">
      <c r="D91" s="120"/>
      <c r="H91" s="120"/>
      <c r="L91" s="120"/>
      <c r="P91" s="120"/>
      <c r="T91" s="120"/>
      <c r="X91" s="120"/>
      <c r="AB91" s="120"/>
      <c r="AF91" s="120"/>
      <c r="AJ91" s="403"/>
    </row>
    <row r="92" spans="4:36" x14ac:dyDescent="0.25">
      <c r="D92" s="120"/>
      <c r="H92" s="120"/>
      <c r="L92" s="120"/>
      <c r="P92" s="120"/>
      <c r="T92" s="120"/>
      <c r="X92" s="120"/>
      <c r="AB92" s="120"/>
      <c r="AF92" s="120"/>
      <c r="AJ92" s="403"/>
    </row>
    <row r="93" spans="4:36" x14ac:dyDescent="0.25">
      <c r="D93" s="120"/>
      <c r="H93" s="120"/>
      <c r="L93" s="120"/>
      <c r="P93" s="120"/>
      <c r="T93" s="120"/>
      <c r="X93" s="120"/>
      <c r="AB93" s="120"/>
      <c r="AF93" s="120"/>
      <c r="AJ93" s="403"/>
    </row>
    <row r="94" spans="4:36" x14ac:dyDescent="0.25">
      <c r="D94" s="120"/>
      <c r="H94" s="120"/>
      <c r="L94" s="120"/>
      <c r="P94" s="120"/>
      <c r="T94" s="120"/>
      <c r="X94" s="120"/>
      <c r="AB94" s="120"/>
      <c r="AF94" s="120"/>
      <c r="AJ94" s="403"/>
    </row>
    <row r="95" spans="4:36" x14ac:dyDescent="0.25">
      <c r="D95" s="120"/>
      <c r="H95" s="120"/>
      <c r="L95" s="120"/>
      <c r="P95" s="120"/>
      <c r="T95" s="120"/>
      <c r="X95" s="120"/>
      <c r="AB95" s="120"/>
      <c r="AF95" s="120"/>
      <c r="AJ95" s="403"/>
    </row>
    <row r="96" spans="4:36" x14ac:dyDescent="0.25">
      <c r="D96" s="120"/>
      <c r="H96" s="120"/>
      <c r="L96" s="120"/>
      <c r="P96" s="120"/>
      <c r="T96" s="120"/>
      <c r="X96" s="120"/>
      <c r="AB96" s="120"/>
      <c r="AF96" s="120"/>
      <c r="AJ96" s="403"/>
    </row>
    <row r="97" spans="4:36" x14ac:dyDescent="0.25">
      <c r="D97" s="120"/>
      <c r="H97" s="120"/>
      <c r="L97" s="120"/>
      <c r="P97" s="120"/>
      <c r="T97" s="120"/>
      <c r="X97" s="120"/>
      <c r="AB97" s="120"/>
      <c r="AF97" s="120"/>
      <c r="AJ97" s="403"/>
    </row>
    <row r="98" spans="4:36" x14ac:dyDescent="0.25">
      <c r="D98" s="120"/>
      <c r="H98" s="120"/>
      <c r="L98" s="120"/>
      <c r="P98" s="120"/>
      <c r="T98" s="120"/>
      <c r="X98" s="120"/>
      <c r="AB98" s="120"/>
      <c r="AF98" s="120"/>
      <c r="AJ98" s="403"/>
    </row>
    <row r="99" spans="4:36" x14ac:dyDescent="0.25">
      <c r="D99" s="120"/>
      <c r="H99" s="120"/>
      <c r="L99" s="120"/>
      <c r="P99" s="120"/>
      <c r="T99" s="120"/>
      <c r="X99" s="120"/>
      <c r="AB99" s="120"/>
      <c r="AF99" s="120"/>
      <c r="AJ99" s="403"/>
    </row>
    <row r="100" spans="4:36" x14ac:dyDescent="0.25">
      <c r="D100" s="120"/>
      <c r="H100" s="120"/>
      <c r="L100" s="120"/>
      <c r="P100" s="120"/>
      <c r="T100" s="120"/>
      <c r="X100" s="120"/>
      <c r="AB100" s="120"/>
      <c r="AF100" s="120"/>
      <c r="AJ100" s="403"/>
    </row>
    <row r="101" spans="4:36" x14ac:dyDescent="0.25">
      <c r="D101" s="120"/>
      <c r="H101" s="120"/>
      <c r="L101" s="120"/>
      <c r="P101" s="120"/>
      <c r="T101" s="120"/>
      <c r="X101" s="120"/>
      <c r="AB101" s="120"/>
      <c r="AF101" s="120"/>
      <c r="AJ101" s="403"/>
    </row>
    <row r="102" spans="4:36" x14ac:dyDescent="0.25">
      <c r="D102" s="120"/>
      <c r="H102" s="120"/>
      <c r="L102" s="120"/>
      <c r="P102" s="120"/>
      <c r="T102" s="120"/>
      <c r="X102" s="120"/>
      <c r="AB102" s="120"/>
      <c r="AF102" s="120"/>
      <c r="AJ102" s="403"/>
    </row>
    <row r="103" spans="4:36" x14ac:dyDescent="0.25">
      <c r="D103" s="120"/>
      <c r="H103" s="120"/>
      <c r="L103" s="120"/>
      <c r="P103" s="120"/>
      <c r="T103" s="120"/>
      <c r="X103" s="120"/>
      <c r="AB103" s="120"/>
      <c r="AF103" s="120"/>
      <c r="AJ103" s="403"/>
    </row>
    <row r="104" spans="4:36" x14ac:dyDescent="0.25">
      <c r="D104" s="120"/>
      <c r="H104" s="120"/>
      <c r="L104" s="120"/>
      <c r="P104" s="120"/>
      <c r="T104" s="120"/>
      <c r="X104" s="120"/>
      <c r="AB104" s="120"/>
      <c r="AF104" s="120"/>
      <c r="AJ104" s="403"/>
    </row>
    <row r="105" spans="4:36" x14ac:dyDescent="0.25">
      <c r="D105" s="120"/>
      <c r="H105" s="120"/>
      <c r="L105" s="120"/>
      <c r="P105" s="120"/>
      <c r="T105" s="120"/>
      <c r="X105" s="120"/>
      <c r="AB105" s="120"/>
      <c r="AF105" s="120"/>
      <c r="AJ105" s="403"/>
    </row>
    <row r="106" spans="4:36" x14ac:dyDescent="0.25">
      <c r="D106" s="120"/>
      <c r="H106" s="120"/>
      <c r="L106" s="120"/>
      <c r="P106" s="120"/>
      <c r="T106" s="120"/>
      <c r="X106" s="120"/>
      <c r="AB106" s="120"/>
      <c r="AF106" s="120"/>
      <c r="AJ106" s="403"/>
    </row>
    <row r="107" spans="4:36" x14ac:dyDescent="0.25">
      <c r="D107" s="120"/>
      <c r="H107" s="120"/>
      <c r="L107" s="120"/>
      <c r="P107" s="120"/>
      <c r="T107" s="120"/>
      <c r="X107" s="120"/>
      <c r="AB107" s="120"/>
      <c r="AF107" s="120"/>
      <c r="AJ107" s="403"/>
    </row>
    <row r="108" spans="4:36" x14ac:dyDescent="0.25">
      <c r="D108" s="120"/>
      <c r="H108" s="120"/>
      <c r="L108" s="120"/>
      <c r="P108" s="120"/>
      <c r="T108" s="120"/>
      <c r="X108" s="120"/>
      <c r="AB108" s="120"/>
      <c r="AF108" s="120"/>
      <c r="AJ108" s="403"/>
    </row>
    <row r="109" spans="4:36" x14ac:dyDescent="0.25">
      <c r="D109" s="120"/>
      <c r="H109" s="120"/>
      <c r="L109" s="120"/>
      <c r="P109" s="120"/>
      <c r="T109" s="120"/>
      <c r="X109" s="120"/>
      <c r="AB109" s="120"/>
      <c r="AF109" s="120"/>
      <c r="AJ109" s="403"/>
    </row>
    <row r="110" spans="4:36" x14ac:dyDescent="0.25">
      <c r="D110" s="120"/>
      <c r="H110" s="120"/>
      <c r="L110" s="120"/>
      <c r="P110" s="120"/>
      <c r="T110" s="120"/>
      <c r="X110" s="120"/>
      <c r="AB110" s="120"/>
      <c r="AF110" s="120"/>
      <c r="AJ110" s="403"/>
    </row>
    <row r="111" spans="4:36" x14ac:dyDescent="0.25">
      <c r="D111" s="120"/>
      <c r="H111" s="120"/>
      <c r="L111" s="120"/>
      <c r="P111" s="120"/>
      <c r="T111" s="120"/>
      <c r="X111" s="120"/>
      <c r="AB111" s="120"/>
      <c r="AF111" s="120"/>
      <c r="AJ111" s="403"/>
    </row>
    <row r="112" spans="4:36" x14ac:dyDescent="0.25">
      <c r="D112" s="120"/>
      <c r="H112" s="120"/>
      <c r="L112" s="120"/>
      <c r="P112" s="120"/>
      <c r="T112" s="120"/>
      <c r="X112" s="120"/>
      <c r="AB112" s="120"/>
      <c r="AF112" s="120"/>
      <c r="AJ112" s="403"/>
    </row>
    <row r="113" spans="4:36" x14ac:dyDescent="0.25">
      <c r="D113" s="120"/>
      <c r="H113" s="120"/>
      <c r="L113" s="120"/>
      <c r="P113" s="120"/>
      <c r="T113" s="120"/>
      <c r="X113" s="120"/>
      <c r="AB113" s="120"/>
      <c r="AF113" s="120"/>
      <c r="AJ113" s="403"/>
    </row>
    <row r="114" spans="4:36" x14ac:dyDescent="0.25">
      <c r="D114" s="120"/>
      <c r="H114" s="120"/>
      <c r="L114" s="120"/>
      <c r="P114" s="120"/>
      <c r="T114" s="120"/>
      <c r="X114" s="120"/>
      <c r="AB114" s="120"/>
      <c r="AF114" s="120"/>
      <c r="AJ114" s="403"/>
    </row>
    <row r="115" spans="4:36" x14ac:dyDescent="0.25">
      <c r="D115" s="120"/>
      <c r="H115" s="120"/>
      <c r="L115" s="120"/>
      <c r="P115" s="120"/>
      <c r="T115" s="120"/>
      <c r="X115" s="120"/>
      <c r="AB115" s="120"/>
      <c r="AF115" s="120"/>
      <c r="AJ115" s="403"/>
    </row>
    <row r="116" spans="4:36" x14ac:dyDescent="0.25">
      <c r="D116" s="120"/>
      <c r="H116" s="120"/>
      <c r="L116" s="120"/>
      <c r="P116" s="120"/>
      <c r="T116" s="120"/>
      <c r="X116" s="120"/>
      <c r="AB116" s="120"/>
      <c r="AF116" s="120"/>
      <c r="AJ116" s="403"/>
    </row>
    <row r="117" spans="4:36" x14ac:dyDescent="0.25">
      <c r="D117" s="120"/>
      <c r="H117" s="120"/>
      <c r="L117" s="120"/>
      <c r="P117" s="120"/>
      <c r="T117" s="120"/>
      <c r="X117" s="120"/>
      <c r="AB117" s="120"/>
      <c r="AF117" s="120"/>
      <c r="AJ117" s="403"/>
    </row>
    <row r="118" spans="4:36" x14ac:dyDescent="0.25">
      <c r="D118" s="120"/>
      <c r="H118" s="120"/>
      <c r="L118" s="120"/>
      <c r="P118" s="120"/>
      <c r="T118" s="120"/>
      <c r="X118" s="120"/>
      <c r="AB118" s="120"/>
      <c r="AF118" s="120"/>
      <c r="AJ118" s="403"/>
    </row>
    <row r="119" spans="4:36" x14ac:dyDescent="0.25">
      <c r="D119" s="120"/>
      <c r="H119" s="120"/>
      <c r="L119" s="120"/>
      <c r="P119" s="120"/>
      <c r="T119" s="120"/>
      <c r="X119" s="120"/>
      <c r="AB119" s="120"/>
      <c r="AF119" s="120"/>
      <c r="AJ119" s="403"/>
    </row>
    <row r="120" spans="4:36" x14ac:dyDescent="0.25">
      <c r="D120" s="120"/>
      <c r="H120" s="120"/>
      <c r="L120" s="120"/>
      <c r="P120" s="120"/>
      <c r="T120" s="120"/>
      <c r="X120" s="120"/>
      <c r="AB120" s="120"/>
      <c r="AF120" s="120"/>
      <c r="AJ120" s="403"/>
    </row>
    <row r="121" spans="4:36" x14ac:dyDescent="0.25">
      <c r="D121" s="120"/>
      <c r="H121" s="120"/>
      <c r="L121" s="120"/>
      <c r="P121" s="120"/>
      <c r="T121" s="120"/>
      <c r="X121" s="120"/>
      <c r="AB121" s="120"/>
      <c r="AF121" s="120"/>
      <c r="AJ121" s="403"/>
    </row>
    <row r="122" spans="4:36" x14ac:dyDescent="0.25">
      <c r="D122" s="120"/>
      <c r="H122" s="120"/>
      <c r="L122" s="120"/>
      <c r="P122" s="120"/>
      <c r="T122" s="120"/>
      <c r="X122" s="120"/>
      <c r="AB122" s="120"/>
      <c r="AF122" s="120"/>
      <c r="AJ122" s="403"/>
    </row>
    <row r="123" spans="4:36" x14ac:dyDescent="0.25">
      <c r="D123" s="120"/>
      <c r="H123" s="120"/>
      <c r="L123" s="120"/>
      <c r="P123" s="120"/>
      <c r="T123" s="120"/>
      <c r="X123" s="120"/>
      <c r="AB123" s="120"/>
      <c r="AF123" s="120"/>
      <c r="AJ123" s="403"/>
    </row>
    <row r="124" spans="4:36" x14ac:dyDescent="0.25">
      <c r="D124" s="120"/>
      <c r="H124" s="120"/>
      <c r="L124" s="120"/>
      <c r="P124" s="120"/>
      <c r="T124" s="120"/>
      <c r="X124" s="120"/>
      <c r="AB124" s="120"/>
      <c r="AF124" s="120"/>
      <c r="AJ124" s="403"/>
    </row>
    <row r="125" spans="4:36" x14ac:dyDescent="0.25">
      <c r="D125" s="120"/>
      <c r="H125" s="120"/>
      <c r="L125" s="120"/>
      <c r="P125" s="120"/>
      <c r="T125" s="120"/>
      <c r="X125" s="120"/>
      <c r="AB125" s="120"/>
      <c r="AF125" s="120"/>
      <c r="AJ125" s="403"/>
    </row>
    <row r="126" spans="4:36" x14ac:dyDescent="0.25">
      <c r="D126" s="403" t="s">
        <v>1511</v>
      </c>
      <c r="E126" s="211">
        <v>30.35</v>
      </c>
      <c r="F126" s="211">
        <v>25</v>
      </c>
      <c r="G126" s="397"/>
      <c r="H126" s="403"/>
      <c r="I126" s="394"/>
      <c r="J126" s="394"/>
      <c r="L126" s="120"/>
      <c r="P126" s="120"/>
      <c r="T126" s="120"/>
      <c r="X126" s="120"/>
      <c r="AB126" s="120"/>
      <c r="AF126" s="120"/>
      <c r="AJ126" s="403"/>
    </row>
    <row r="127" spans="4:36" x14ac:dyDescent="0.25">
      <c r="D127" s="120"/>
      <c r="H127" s="120"/>
      <c r="L127" s="120"/>
      <c r="P127" s="120"/>
      <c r="T127" s="120"/>
      <c r="X127" s="120"/>
      <c r="AB127" s="120"/>
      <c r="AF127" s="120"/>
      <c r="AJ127" s="403"/>
    </row>
    <row r="128" spans="4:36" x14ac:dyDescent="0.25">
      <c r="D128" s="120"/>
      <c r="H128" s="120"/>
      <c r="L128" s="120"/>
      <c r="P128" s="120"/>
      <c r="T128" s="120"/>
      <c r="X128" s="120"/>
      <c r="AB128" s="120"/>
      <c r="AF128" s="120"/>
      <c r="AJ128" s="403"/>
    </row>
    <row r="129" spans="4:36" x14ac:dyDescent="0.25">
      <c r="D129" s="120"/>
      <c r="H129" s="120"/>
      <c r="L129" s="120"/>
      <c r="P129" s="120"/>
      <c r="T129" s="120"/>
      <c r="X129" s="120"/>
      <c r="AB129" s="120"/>
      <c r="AF129" s="120"/>
      <c r="AJ129" s="403"/>
    </row>
    <row r="130" spans="4:36" x14ac:dyDescent="0.25">
      <c r="D130" s="120"/>
      <c r="H130" s="120"/>
      <c r="L130" s="120"/>
      <c r="P130" s="120"/>
      <c r="T130" s="120"/>
      <c r="X130" s="120"/>
      <c r="AB130" s="120"/>
      <c r="AF130" s="120"/>
      <c r="AJ130" s="403"/>
    </row>
    <row r="131" spans="4:36" x14ac:dyDescent="0.25">
      <c r="D131" s="120"/>
      <c r="H131" s="120"/>
      <c r="L131" s="120"/>
      <c r="P131" s="120"/>
      <c r="T131" s="120"/>
      <c r="X131" s="120"/>
      <c r="AB131" s="120"/>
      <c r="AF131" s="120"/>
      <c r="AJ131" s="403"/>
    </row>
    <row r="132" spans="4:36" x14ac:dyDescent="0.25">
      <c r="D132" s="120"/>
      <c r="H132" s="120"/>
      <c r="L132" s="120"/>
      <c r="P132" s="120"/>
      <c r="T132" s="120"/>
      <c r="X132" s="120"/>
      <c r="AB132" s="120"/>
      <c r="AF132" s="120"/>
      <c r="AJ132" s="403"/>
    </row>
    <row r="133" spans="4:36" x14ac:dyDescent="0.25">
      <c r="D133" s="120"/>
      <c r="H133" s="120"/>
      <c r="L133" s="120"/>
      <c r="P133" s="120"/>
      <c r="T133" s="120"/>
      <c r="X133" s="120"/>
      <c r="AB133" s="120"/>
      <c r="AF133" s="120"/>
      <c r="AJ133" s="403"/>
    </row>
    <row r="134" spans="4:36" x14ac:dyDescent="0.25">
      <c r="D134" s="120"/>
      <c r="H134" s="120"/>
      <c r="L134" s="120"/>
      <c r="P134" s="120"/>
      <c r="T134" s="120"/>
      <c r="X134" s="120"/>
      <c r="AB134" s="120"/>
      <c r="AF134" s="120"/>
      <c r="AJ134" s="403"/>
    </row>
    <row r="135" spans="4:36" x14ac:dyDescent="0.25">
      <c r="D135" s="120"/>
      <c r="H135" s="120"/>
      <c r="L135" s="120"/>
      <c r="P135" s="120"/>
      <c r="T135" s="120"/>
      <c r="X135" s="120"/>
      <c r="AB135" s="120"/>
      <c r="AF135" s="120"/>
      <c r="AJ135" s="403"/>
    </row>
    <row r="136" spans="4:36" x14ac:dyDescent="0.25">
      <c r="D136" s="120"/>
      <c r="H136" s="120"/>
      <c r="L136" s="120"/>
      <c r="P136" s="120"/>
      <c r="T136" s="120"/>
      <c r="X136" s="120"/>
      <c r="AB136" s="120"/>
      <c r="AF136" s="120"/>
      <c r="AJ136" s="403"/>
    </row>
    <row r="137" spans="4:36" x14ac:dyDescent="0.25">
      <c r="D137" s="120"/>
      <c r="H137" s="120"/>
      <c r="L137" s="120"/>
      <c r="P137" s="120"/>
      <c r="T137" s="120"/>
      <c r="X137" s="120"/>
      <c r="AB137" s="120"/>
      <c r="AF137" s="120"/>
      <c r="AJ137" s="403"/>
    </row>
    <row r="138" spans="4:36" x14ac:dyDescent="0.25">
      <c r="D138" s="120"/>
      <c r="H138" s="120"/>
      <c r="L138" s="120"/>
      <c r="P138" s="120"/>
      <c r="T138" s="120"/>
      <c r="X138" s="120"/>
      <c r="AB138" s="120"/>
      <c r="AF138" s="120"/>
      <c r="AJ138" s="403"/>
    </row>
    <row r="139" spans="4:36" x14ac:dyDescent="0.25">
      <c r="D139" s="120"/>
      <c r="H139" s="120"/>
      <c r="L139" s="120"/>
      <c r="P139" s="120"/>
      <c r="T139" s="120"/>
      <c r="X139" s="120"/>
      <c r="AB139" s="120"/>
      <c r="AF139" s="120"/>
      <c r="AJ139" s="403"/>
    </row>
    <row r="140" spans="4:36" x14ac:dyDescent="0.25">
      <c r="D140" s="120"/>
      <c r="H140" s="120"/>
      <c r="L140" s="120"/>
      <c r="P140" s="120"/>
      <c r="T140" s="120"/>
      <c r="X140" s="120"/>
      <c r="AB140" s="120"/>
      <c r="AF140" s="120"/>
      <c r="AJ140" s="403"/>
    </row>
    <row r="141" spans="4:36" x14ac:dyDescent="0.25">
      <c r="D141" s="120"/>
      <c r="H141" s="120"/>
      <c r="L141" s="120"/>
      <c r="P141" s="120"/>
      <c r="T141" s="120"/>
      <c r="X141" s="120"/>
      <c r="AB141" s="120"/>
      <c r="AF141" s="120"/>
      <c r="AJ141" s="403"/>
    </row>
    <row r="142" spans="4:36" x14ac:dyDescent="0.25">
      <c r="D142" s="120"/>
      <c r="H142" s="120"/>
      <c r="L142" s="120"/>
      <c r="P142" s="120"/>
      <c r="T142" s="120"/>
      <c r="X142" s="120"/>
      <c r="AB142" s="120"/>
      <c r="AF142" s="120"/>
      <c r="AJ142" s="403"/>
    </row>
    <row r="143" spans="4:36" x14ac:dyDescent="0.25">
      <c r="D143" s="120"/>
      <c r="H143" s="120"/>
      <c r="L143" s="120"/>
      <c r="P143" s="120"/>
      <c r="T143" s="120"/>
      <c r="X143" s="120"/>
      <c r="AB143" s="120"/>
      <c r="AF143" s="120"/>
      <c r="AJ143" s="403"/>
    </row>
    <row r="144" spans="4:36" x14ac:dyDescent="0.25">
      <c r="D144" s="120"/>
      <c r="H144" s="120"/>
      <c r="L144" s="120"/>
      <c r="P144" s="120"/>
      <c r="T144" s="120"/>
      <c r="X144" s="120"/>
      <c r="AB144" s="120"/>
      <c r="AF144" s="120"/>
      <c r="AJ144" s="403"/>
    </row>
    <row r="145" spans="4:36" x14ac:dyDescent="0.25">
      <c r="D145" s="120"/>
      <c r="H145" s="120"/>
      <c r="L145" s="120"/>
      <c r="P145" s="120"/>
      <c r="T145" s="120"/>
      <c r="X145" s="120"/>
      <c r="AB145" s="120"/>
      <c r="AF145" s="120"/>
      <c r="AJ145" s="403"/>
    </row>
    <row r="146" spans="4:36" x14ac:dyDescent="0.25">
      <c r="D146" s="120"/>
      <c r="H146" s="120"/>
      <c r="L146" s="120"/>
      <c r="P146" s="120"/>
      <c r="T146" s="120"/>
      <c r="X146" s="120"/>
      <c r="AB146" s="120"/>
      <c r="AF146" s="120"/>
      <c r="AJ146" s="403"/>
    </row>
    <row r="147" spans="4:36" x14ac:dyDescent="0.25">
      <c r="D147" s="120"/>
      <c r="H147" s="120"/>
      <c r="L147" s="120"/>
      <c r="P147" s="120"/>
      <c r="T147" s="120"/>
      <c r="X147" s="120"/>
      <c r="AB147" s="120"/>
      <c r="AF147" s="120"/>
      <c r="AJ147" s="403"/>
    </row>
    <row r="148" spans="4:36" x14ac:dyDescent="0.25">
      <c r="D148" s="120"/>
      <c r="H148" s="120"/>
      <c r="L148" s="120"/>
      <c r="P148" s="120"/>
      <c r="T148" s="120"/>
      <c r="X148" s="120"/>
      <c r="AB148" s="120"/>
      <c r="AF148" s="120"/>
      <c r="AJ148" s="403"/>
    </row>
    <row r="149" spans="4:36" x14ac:dyDescent="0.25">
      <c r="D149" s="120"/>
      <c r="H149" s="120"/>
      <c r="L149" s="120"/>
      <c r="P149" s="120"/>
      <c r="T149" s="120"/>
      <c r="X149" s="120"/>
      <c r="AB149" s="120"/>
      <c r="AF149" s="120"/>
      <c r="AJ149" s="403"/>
    </row>
    <row r="150" spans="4:36" x14ac:dyDescent="0.25">
      <c r="D150" s="120"/>
      <c r="H150" s="120"/>
      <c r="L150" s="120"/>
      <c r="P150" s="120"/>
      <c r="T150" s="120"/>
      <c r="X150" s="120"/>
      <c r="AB150" s="120"/>
      <c r="AF150" s="120"/>
      <c r="AJ150" s="403"/>
    </row>
    <row r="151" spans="4:36" x14ac:dyDescent="0.25">
      <c r="D151" s="120"/>
      <c r="H151" s="120"/>
      <c r="L151" s="120"/>
      <c r="P151" s="120"/>
      <c r="T151" s="120"/>
      <c r="X151" s="120"/>
      <c r="AB151" s="120"/>
      <c r="AF151" s="120"/>
      <c r="AJ151" s="403"/>
    </row>
    <row r="152" spans="4:36" x14ac:dyDescent="0.25">
      <c r="D152" s="120"/>
      <c r="H152" s="120"/>
      <c r="L152" s="120"/>
      <c r="P152" s="120"/>
      <c r="T152" s="120"/>
      <c r="X152" s="120"/>
      <c r="AB152" s="120"/>
      <c r="AF152" s="120"/>
      <c r="AJ152" s="403"/>
    </row>
    <row r="153" spans="4:36" x14ac:dyDescent="0.25">
      <c r="D153" s="120"/>
      <c r="H153" s="120"/>
      <c r="L153" s="120"/>
      <c r="P153" s="120"/>
      <c r="T153" s="120"/>
      <c r="X153" s="120"/>
      <c r="AB153" s="120"/>
      <c r="AF153" s="120"/>
      <c r="AJ153" s="403"/>
    </row>
    <row r="154" spans="4:36" x14ac:dyDescent="0.25">
      <c r="D154" s="120"/>
      <c r="H154" s="120"/>
      <c r="L154" s="120"/>
      <c r="P154" s="120"/>
      <c r="T154" s="120"/>
      <c r="X154" s="120"/>
      <c r="AB154" s="120"/>
      <c r="AF154" s="120"/>
      <c r="AJ154" s="403"/>
    </row>
    <row r="155" spans="4:36" x14ac:dyDescent="0.25">
      <c r="D155" s="120"/>
      <c r="H155" s="120"/>
      <c r="L155" s="120"/>
      <c r="P155" s="120"/>
      <c r="T155" s="120"/>
      <c r="X155" s="120"/>
      <c r="AB155" s="120"/>
      <c r="AF155" s="120"/>
      <c r="AJ155" s="403"/>
    </row>
    <row r="156" spans="4:36" x14ac:dyDescent="0.25">
      <c r="D156" s="120"/>
      <c r="H156" s="120"/>
      <c r="L156" s="120"/>
      <c r="P156" s="120"/>
      <c r="T156" s="120"/>
      <c r="X156" s="120"/>
      <c r="AB156" s="120"/>
      <c r="AF156" s="120"/>
      <c r="AJ156" s="403"/>
    </row>
    <row r="157" spans="4:36" x14ac:dyDescent="0.25">
      <c r="D157" s="120"/>
      <c r="H157" s="120"/>
      <c r="L157" s="120"/>
      <c r="P157" s="120"/>
      <c r="T157" s="120"/>
      <c r="X157" s="120"/>
      <c r="AB157" s="120"/>
      <c r="AF157" s="120"/>
      <c r="AJ157" s="403"/>
    </row>
    <row r="158" spans="4:36" x14ac:dyDescent="0.25">
      <c r="D158" s="120"/>
      <c r="H158" s="120"/>
      <c r="L158" s="120"/>
      <c r="P158" s="120"/>
      <c r="T158" s="120"/>
      <c r="X158" s="120"/>
      <c r="AB158" s="120"/>
      <c r="AF158" s="120"/>
      <c r="AJ158" s="403"/>
    </row>
    <row r="159" spans="4:36" x14ac:dyDescent="0.25">
      <c r="D159" s="120"/>
      <c r="H159" s="120"/>
      <c r="L159" s="120"/>
      <c r="P159" s="120"/>
      <c r="T159" s="120"/>
      <c r="X159" s="120"/>
      <c r="AB159" s="120"/>
      <c r="AF159" s="120"/>
      <c r="AJ159" s="403"/>
    </row>
    <row r="160" spans="4:36" x14ac:dyDescent="0.25">
      <c r="D160" s="120"/>
      <c r="H160" s="120"/>
      <c r="L160" s="120"/>
      <c r="P160" s="120"/>
      <c r="T160" s="120"/>
      <c r="X160" s="120"/>
      <c r="AB160" s="120"/>
      <c r="AF160" s="120"/>
      <c r="AJ160" s="403"/>
    </row>
    <row r="161" spans="4:36" x14ac:dyDescent="0.25">
      <c r="D161" s="120"/>
      <c r="H161" s="120"/>
      <c r="L161" s="120"/>
      <c r="P161" s="120"/>
      <c r="T161" s="120"/>
      <c r="X161" s="120"/>
      <c r="AB161" s="120"/>
      <c r="AF161" s="120"/>
      <c r="AJ161" s="403"/>
    </row>
    <row r="162" spans="4:36" x14ac:dyDescent="0.25">
      <c r="D162" s="120"/>
      <c r="H162" s="120"/>
      <c r="L162" s="120"/>
      <c r="P162" s="120"/>
      <c r="T162" s="120"/>
      <c r="X162" s="120"/>
      <c r="AB162" s="120"/>
      <c r="AF162" s="120"/>
      <c r="AJ162" s="403"/>
    </row>
    <row r="163" spans="4:36" x14ac:dyDescent="0.25">
      <c r="D163" s="120"/>
      <c r="H163" s="120"/>
      <c r="L163" s="120"/>
      <c r="P163" s="120"/>
      <c r="T163" s="120"/>
      <c r="X163" s="120"/>
      <c r="AB163" s="120"/>
      <c r="AF163" s="120"/>
      <c r="AJ163" s="403"/>
    </row>
    <row r="164" spans="4:36" x14ac:dyDescent="0.25">
      <c r="D164" s="120"/>
      <c r="H164" s="120"/>
      <c r="L164" s="120"/>
      <c r="P164" s="120"/>
      <c r="T164" s="120"/>
      <c r="X164" s="120"/>
      <c r="AB164" s="120"/>
      <c r="AF164" s="120"/>
      <c r="AJ164" s="403"/>
    </row>
    <row r="165" spans="4:36" x14ac:dyDescent="0.25">
      <c r="D165" s="120"/>
      <c r="H165" s="120"/>
      <c r="L165" s="120"/>
      <c r="P165" s="120"/>
      <c r="T165" s="120"/>
      <c r="X165" s="120"/>
      <c r="AB165" s="120"/>
      <c r="AF165" s="120"/>
      <c r="AJ165" s="403"/>
    </row>
    <row r="166" spans="4:36" x14ac:dyDescent="0.25">
      <c r="D166" s="120"/>
      <c r="H166" s="120"/>
      <c r="L166" s="120"/>
      <c r="P166" s="120"/>
      <c r="T166" s="120"/>
      <c r="X166" s="120"/>
      <c r="AB166" s="120"/>
      <c r="AF166" s="120"/>
      <c r="AJ166" s="403"/>
    </row>
    <row r="167" spans="4:36" x14ac:dyDescent="0.25">
      <c r="D167" s="120"/>
      <c r="H167" s="120"/>
      <c r="L167" s="120"/>
      <c r="P167" s="120"/>
      <c r="T167" s="120"/>
      <c r="X167" s="120"/>
      <c r="AB167" s="120"/>
      <c r="AF167" s="120"/>
      <c r="AJ167" s="403"/>
    </row>
    <row r="168" spans="4:36" x14ac:dyDescent="0.25">
      <c r="D168" s="120"/>
      <c r="H168" s="120"/>
      <c r="L168" s="120"/>
      <c r="P168" s="120"/>
      <c r="T168" s="120"/>
      <c r="X168" s="120"/>
      <c r="AB168" s="120"/>
      <c r="AF168" s="120"/>
      <c r="AJ168" s="403"/>
    </row>
    <row r="169" spans="4:36" x14ac:dyDescent="0.25">
      <c r="D169" s="120"/>
      <c r="H169" s="120"/>
      <c r="L169" s="120"/>
      <c r="P169" s="120"/>
      <c r="T169" s="120"/>
      <c r="X169" s="120"/>
      <c r="AB169" s="120"/>
      <c r="AF169" s="120"/>
      <c r="AJ169" s="403"/>
    </row>
    <row r="170" spans="4:36" x14ac:dyDescent="0.25">
      <c r="D170" s="120"/>
      <c r="H170" s="120"/>
      <c r="L170" s="120"/>
      <c r="P170" s="120"/>
      <c r="T170" s="120"/>
      <c r="X170" s="120"/>
      <c r="AB170" s="120"/>
      <c r="AF170" s="120"/>
      <c r="AJ170" s="403"/>
    </row>
    <row r="171" spans="4:36" x14ac:dyDescent="0.25">
      <c r="D171" s="120"/>
      <c r="H171" s="120"/>
      <c r="L171" s="120"/>
      <c r="P171" s="120"/>
      <c r="T171" s="120"/>
      <c r="X171" s="120"/>
      <c r="AB171" s="120"/>
      <c r="AF171" s="120"/>
      <c r="AJ171" s="403"/>
    </row>
    <row r="172" spans="4:36" x14ac:dyDescent="0.25">
      <c r="D172" s="120"/>
      <c r="H172" s="120"/>
      <c r="L172" s="120"/>
      <c r="P172" s="120"/>
      <c r="T172" s="120"/>
      <c r="X172" s="120"/>
      <c r="AB172" s="120"/>
      <c r="AF172" s="120"/>
      <c r="AJ172" s="403"/>
    </row>
    <row r="173" spans="4:36" x14ac:dyDescent="0.25">
      <c r="D173" s="120"/>
      <c r="H173" s="120"/>
      <c r="L173" s="120"/>
      <c r="P173" s="120"/>
      <c r="T173" s="120"/>
      <c r="X173" s="120"/>
      <c r="AB173" s="120"/>
      <c r="AF173" s="120"/>
      <c r="AJ173" s="403"/>
    </row>
    <row r="174" spans="4:36" x14ac:dyDescent="0.25">
      <c r="D174" s="120"/>
      <c r="H174" s="120"/>
      <c r="L174" s="120"/>
      <c r="P174" s="120"/>
      <c r="T174" s="120"/>
      <c r="X174" s="120"/>
      <c r="AB174" s="120"/>
      <c r="AF174" s="120"/>
      <c r="AJ174" s="403"/>
    </row>
    <row r="175" spans="4:36" x14ac:dyDescent="0.25">
      <c r="D175" s="120"/>
      <c r="H175" s="120"/>
      <c r="L175" s="120"/>
      <c r="P175" s="120"/>
      <c r="T175" s="120"/>
      <c r="X175" s="120"/>
      <c r="AB175" s="120"/>
      <c r="AF175" s="120"/>
      <c r="AJ175" s="403"/>
    </row>
    <row r="176" spans="4:36" x14ac:dyDescent="0.25">
      <c r="D176" s="120"/>
      <c r="H176" s="120"/>
      <c r="L176" s="120"/>
      <c r="P176" s="120"/>
      <c r="T176" s="120"/>
      <c r="X176" s="120"/>
      <c r="AB176" s="120"/>
      <c r="AF176" s="120"/>
      <c r="AJ176" s="403"/>
    </row>
    <row r="177" spans="4:36" x14ac:dyDescent="0.25">
      <c r="D177" s="120"/>
      <c r="H177" s="120"/>
      <c r="L177" s="120"/>
      <c r="P177" s="120"/>
      <c r="T177" s="120"/>
      <c r="X177" s="120"/>
      <c r="AB177" s="120"/>
      <c r="AF177" s="120"/>
      <c r="AJ177" s="403"/>
    </row>
    <row r="178" spans="4:36" x14ac:dyDescent="0.25">
      <c r="D178" s="120"/>
      <c r="H178" s="120"/>
      <c r="L178" s="120"/>
      <c r="P178" s="120"/>
      <c r="T178" s="120"/>
      <c r="X178" s="120"/>
      <c r="AB178" s="120"/>
      <c r="AF178" s="120"/>
      <c r="AJ178" s="403"/>
    </row>
    <row r="179" spans="4:36" x14ac:dyDescent="0.25">
      <c r="D179" s="120"/>
      <c r="H179" s="120"/>
      <c r="L179" s="120"/>
      <c r="P179" s="120"/>
      <c r="T179" s="120"/>
      <c r="X179" s="120"/>
      <c r="AB179" s="120"/>
      <c r="AF179" s="120"/>
      <c r="AJ179" s="403"/>
    </row>
    <row r="180" spans="4:36" x14ac:dyDescent="0.25">
      <c r="D180" s="120"/>
      <c r="H180" s="120"/>
      <c r="L180" s="120"/>
      <c r="P180" s="120"/>
      <c r="T180" s="120"/>
      <c r="X180" s="120"/>
      <c r="AB180" s="120"/>
      <c r="AF180" s="120"/>
      <c r="AJ180" s="403"/>
    </row>
    <row r="181" spans="4:36" x14ac:dyDescent="0.25">
      <c r="D181" s="120"/>
      <c r="H181" s="120"/>
      <c r="L181" s="120"/>
      <c r="P181" s="120"/>
      <c r="T181" s="120"/>
      <c r="X181" s="120"/>
      <c r="AB181" s="120"/>
      <c r="AF181" s="120"/>
      <c r="AJ181" s="403"/>
    </row>
    <row r="182" spans="4:36" x14ac:dyDescent="0.25">
      <c r="D182" s="120"/>
      <c r="H182" s="120"/>
      <c r="L182" s="120"/>
      <c r="P182" s="120"/>
      <c r="T182" s="120"/>
      <c r="X182" s="120"/>
      <c r="AB182" s="120"/>
      <c r="AF182" s="120"/>
      <c r="AJ182" s="403"/>
    </row>
    <row r="183" spans="4:36" x14ac:dyDescent="0.25">
      <c r="D183" s="120"/>
      <c r="H183" s="120"/>
      <c r="L183" s="120"/>
      <c r="P183" s="120"/>
      <c r="T183" s="120"/>
      <c r="X183" s="120"/>
      <c r="AB183" s="120"/>
      <c r="AF183" s="120"/>
      <c r="AJ183" s="403"/>
    </row>
    <row r="184" spans="4:36" x14ac:dyDescent="0.25">
      <c r="D184" s="120"/>
      <c r="H184" s="120"/>
      <c r="L184" s="120"/>
      <c r="P184" s="120"/>
      <c r="T184" s="120"/>
      <c r="X184" s="120"/>
      <c r="AB184" s="120"/>
      <c r="AF184" s="120"/>
      <c r="AJ184" s="403"/>
    </row>
    <row r="185" spans="4:36" x14ac:dyDescent="0.25">
      <c r="D185" s="120"/>
      <c r="H185" s="120"/>
      <c r="L185" s="120"/>
      <c r="P185" s="120"/>
      <c r="T185" s="120"/>
      <c r="X185" s="120"/>
      <c r="AB185" s="120"/>
      <c r="AF185" s="120"/>
      <c r="AJ185" s="403"/>
    </row>
    <row r="186" spans="4:36" x14ac:dyDescent="0.25">
      <c r="D186" s="120"/>
      <c r="H186" s="120"/>
      <c r="L186" s="120"/>
      <c r="P186" s="120"/>
      <c r="T186" s="120"/>
      <c r="X186" s="120"/>
      <c r="AB186" s="120"/>
      <c r="AF186" s="120"/>
      <c r="AJ186" s="403"/>
    </row>
    <row r="187" spans="4:36" x14ac:dyDescent="0.25">
      <c r="D187" s="120"/>
      <c r="H187" s="120"/>
      <c r="L187" s="120"/>
      <c r="P187" s="120"/>
      <c r="T187" s="120"/>
      <c r="X187" s="120"/>
      <c r="AB187" s="120"/>
      <c r="AF187" s="120"/>
      <c r="AJ187" s="403"/>
    </row>
    <row r="188" spans="4:36" x14ac:dyDescent="0.25">
      <c r="D188" s="120"/>
      <c r="H188" s="120"/>
      <c r="L188" s="120"/>
      <c r="P188" s="120"/>
      <c r="T188" s="120"/>
      <c r="X188" s="120"/>
      <c r="AB188" s="120"/>
      <c r="AF188" s="120"/>
      <c r="AJ188" s="403"/>
    </row>
    <row r="189" spans="4:36" x14ac:dyDescent="0.25">
      <c r="D189" s="120"/>
      <c r="H189" s="120"/>
      <c r="L189" s="120"/>
      <c r="P189" s="120"/>
      <c r="T189" s="120"/>
      <c r="X189" s="120"/>
      <c r="AB189" s="120"/>
      <c r="AF189" s="120"/>
      <c r="AJ189" s="403"/>
    </row>
    <row r="190" spans="4:36" x14ac:dyDescent="0.25">
      <c r="D190" s="120"/>
      <c r="H190" s="120"/>
      <c r="L190" s="120"/>
      <c r="P190" s="120"/>
      <c r="T190" s="120"/>
      <c r="X190" s="120"/>
      <c r="AB190" s="120"/>
      <c r="AF190" s="120"/>
      <c r="AJ190" s="403"/>
    </row>
    <row r="191" spans="4:36" x14ac:dyDescent="0.25">
      <c r="D191" s="120"/>
      <c r="H191" s="120"/>
      <c r="L191" s="120"/>
      <c r="P191" s="120"/>
      <c r="T191" s="120"/>
      <c r="X191" s="120"/>
      <c r="AB191" s="120"/>
      <c r="AF191" s="120"/>
      <c r="AJ191" s="403"/>
    </row>
    <row r="192" spans="4:36" x14ac:dyDescent="0.25">
      <c r="D192" s="120"/>
      <c r="H192" s="120"/>
      <c r="L192" s="120"/>
      <c r="P192" s="120"/>
      <c r="T192" s="120"/>
      <c r="X192" s="120"/>
      <c r="AB192" s="120"/>
      <c r="AF192" s="120"/>
      <c r="AJ192" s="403"/>
    </row>
    <row r="193" spans="4:36" x14ac:dyDescent="0.25">
      <c r="D193" s="120"/>
      <c r="H193" s="120"/>
      <c r="L193" s="120"/>
      <c r="P193" s="120"/>
      <c r="T193" s="120"/>
      <c r="X193" s="120"/>
      <c r="AB193" s="120"/>
      <c r="AF193" s="120"/>
      <c r="AJ193" s="403"/>
    </row>
    <row r="194" spans="4:36" x14ac:dyDescent="0.25">
      <c r="D194" s="120"/>
      <c r="H194" s="120"/>
      <c r="L194" s="120"/>
      <c r="P194" s="120"/>
      <c r="T194" s="120"/>
      <c r="X194" s="120"/>
      <c r="AB194" s="120"/>
      <c r="AF194" s="120"/>
      <c r="AJ194" s="403"/>
    </row>
    <row r="195" spans="4:36" x14ac:dyDescent="0.25">
      <c r="D195" s="120"/>
      <c r="H195" s="120"/>
      <c r="L195" s="120"/>
      <c r="P195" s="120"/>
      <c r="T195" s="120"/>
      <c r="X195" s="120"/>
      <c r="AB195" s="120"/>
      <c r="AF195" s="120"/>
      <c r="AJ195" s="403"/>
    </row>
    <row r="196" spans="4:36" x14ac:dyDescent="0.25">
      <c r="D196" s="120"/>
      <c r="H196" s="120"/>
      <c r="L196" s="120"/>
      <c r="P196" s="120"/>
      <c r="T196" s="120"/>
      <c r="X196" s="120"/>
      <c r="AB196" s="120"/>
      <c r="AF196" s="120"/>
      <c r="AJ196" s="403"/>
    </row>
    <row r="197" spans="4:36" x14ac:dyDescent="0.25">
      <c r="D197" s="120"/>
      <c r="H197" s="120"/>
      <c r="L197" s="120"/>
      <c r="P197" s="120"/>
      <c r="T197" s="120"/>
      <c r="X197" s="120"/>
      <c r="AB197" s="120"/>
      <c r="AF197" s="120"/>
      <c r="AJ197" s="403"/>
    </row>
    <row r="198" spans="4:36" x14ac:dyDescent="0.25">
      <c r="D198" s="120"/>
      <c r="H198" s="120"/>
      <c r="L198" s="120"/>
      <c r="P198" s="120"/>
      <c r="T198" s="120"/>
      <c r="X198" s="120"/>
      <c r="AB198" s="120"/>
      <c r="AF198" s="120"/>
      <c r="AJ198" s="403"/>
    </row>
    <row r="199" spans="4:36" x14ac:dyDescent="0.25">
      <c r="D199" s="120"/>
      <c r="H199" s="120"/>
      <c r="L199" s="120"/>
      <c r="P199" s="120"/>
      <c r="T199" s="120"/>
      <c r="X199" s="120"/>
      <c r="AB199" s="120"/>
      <c r="AF199" s="120"/>
      <c r="AJ199" s="403"/>
    </row>
    <row r="200" spans="4:36" x14ac:dyDescent="0.25">
      <c r="D200" s="120"/>
      <c r="H200" s="120"/>
      <c r="L200" s="120"/>
      <c r="P200" s="120"/>
      <c r="T200" s="120"/>
      <c r="X200" s="120"/>
      <c r="AB200" s="120"/>
      <c r="AF200" s="120"/>
      <c r="AJ200" s="403"/>
    </row>
    <row r="201" spans="4:36" x14ac:dyDescent="0.25">
      <c r="D201" s="120"/>
      <c r="H201" s="120"/>
      <c r="L201" s="120"/>
      <c r="P201" s="120"/>
      <c r="T201" s="120"/>
      <c r="X201" s="120"/>
      <c r="AB201" s="120"/>
      <c r="AF201" s="120"/>
      <c r="AJ201" s="403"/>
    </row>
    <row r="202" spans="4:36" x14ac:dyDescent="0.25">
      <c r="D202" s="120"/>
      <c r="H202" s="120"/>
      <c r="L202" s="120"/>
      <c r="P202" s="120"/>
      <c r="T202" s="120"/>
      <c r="X202" s="120"/>
      <c r="AB202" s="120"/>
      <c r="AF202" s="120"/>
      <c r="AJ202" s="403"/>
    </row>
    <row r="203" spans="4:36" x14ac:dyDescent="0.25">
      <c r="D203" s="120"/>
      <c r="H203" s="120"/>
      <c r="L203" s="120"/>
      <c r="P203" s="120"/>
      <c r="T203" s="120"/>
      <c r="X203" s="120"/>
      <c r="AB203" s="120"/>
      <c r="AF203" s="120"/>
      <c r="AJ203" s="403"/>
    </row>
    <row r="204" spans="4:36" x14ac:dyDescent="0.25">
      <c r="D204" s="120"/>
      <c r="H204" s="120"/>
      <c r="L204" s="120"/>
      <c r="P204" s="120"/>
      <c r="T204" s="120"/>
      <c r="X204" s="120"/>
      <c r="AB204" s="120"/>
      <c r="AF204" s="120"/>
      <c r="AJ204" s="403"/>
    </row>
    <row r="205" spans="4:36" x14ac:dyDescent="0.25">
      <c r="D205" s="120"/>
      <c r="H205" s="120"/>
      <c r="L205" s="120"/>
      <c r="P205" s="120"/>
      <c r="T205" s="120"/>
      <c r="X205" s="120"/>
      <c r="AB205" s="120"/>
      <c r="AF205" s="120"/>
      <c r="AJ205" s="403"/>
    </row>
    <row r="206" spans="4:36" x14ac:dyDescent="0.25">
      <c r="D206" s="120"/>
      <c r="H206" s="120"/>
      <c r="L206" s="120"/>
      <c r="P206" s="120"/>
      <c r="T206" s="120"/>
      <c r="X206" s="120"/>
      <c r="AB206" s="120"/>
      <c r="AF206" s="120"/>
      <c r="AJ206" s="403"/>
    </row>
    <row r="207" spans="4:36" x14ac:dyDescent="0.25">
      <c r="D207" s="120"/>
      <c r="H207" s="120"/>
      <c r="L207" s="120"/>
      <c r="P207" s="120"/>
      <c r="T207" s="120"/>
      <c r="X207" s="120"/>
      <c r="AB207" s="120"/>
      <c r="AF207" s="120"/>
      <c r="AJ207" s="403"/>
    </row>
    <row r="208" spans="4:36" x14ac:dyDescent="0.25">
      <c r="D208" s="120"/>
      <c r="H208" s="120"/>
      <c r="L208" s="120"/>
      <c r="P208" s="120"/>
      <c r="T208" s="120"/>
      <c r="X208" s="120"/>
      <c r="AB208" s="120"/>
      <c r="AF208" s="120"/>
      <c r="AJ208" s="403"/>
    </row>
    <row r="209" spans="4:36" x14ac:dyDescent="0.25">
      <c r="D209" s="120"/>
      <c r="H209" s="120"/>
      <c r="L209" s="120"/>
      <c r="P209" s="120"/>
      <c r="T209" s="120"/>
      <c r="X209" s="120"/>
      <c r="AB209" s="120"/>
      <c r="AF209" s="120"/>
      <c r="AJ209" s="403"/>
    </row>
    <row r="210" spans="4:36" x14ac:dyDescent="0.25">
      <c r="D210" s="120"/>
      <c r="H210" s="120"/>
      <c r="L210" s="120"/>
      <c r="P210" s="120"/>
      <c r="T210" s="120"/>
      <c r="X210" s="120"/>
      <c r="AB210" s="120"/>
      <c r="AF210" s="120"/>
      <c r="AJ210" s="403"/>
    </row>
    <row r="211" spans="4:36" x14ac:dyDescent="0.25">
      <c r="D211" s="120"/>
      <c r="H211" s="120"/>
      <c r="L211" s="120"/>
      <c r="P211" s="120"/>
      <c r="T211" s="120"/>
      <c r="X211" s="120"/>
      <c r="AB211" s="120"/>
      <c r="AF211" s="120"/>
      <c r="AJ211" s="403"/>
    </row>
    <row r="212" spans="4:36" x14ac:dyDescent="0.25">
      <c r="D212" s="120"/>
      <c r="H212" s="120"/>
      <c r="L212" s="120"/>
      <c r="P212" s="120"/>
      <c r="T212" s="120"/>
      <c r="X212" s="120"/>
      <c r="AB212" s="120"/>
      <c r="AF212" s="120"/>
      <c r="AJ212" s="403"/>
    </row>
    <row r="213" spans="4:36" x14ac:dyDescent="0.25">
      <c r="D213" s="120"/>
      <c r="H213" s="120"/>
      <c r="L213" s="120"/>
      <c r="P213" s="120"/>
      <c r="T213" s="120"/>
      <c r="X213" s="120"/>
      <c r="AB213" s="120"/>
      <c r="AF213" s="120"/>
      <c r="AJ213" s="403"/>
    </row>
    <row r="214" spans="4:36" x14ac:dyDescent="0.25">
      <c r="D214" s="120"/>
      <c r="H214" s="120"/>
      <c r="L214" s="120"/>
      <c r="P214" s="120"/>
      <c r="T214" s="120"/>
      <c r="X214" s="120"/>
      <c r="AB214" s="120"/>
      <c r="AF214" s="120"/>
      <c r="AJ214" s="403"/>
    </row>
    <row r="215" spans="4:36" x14ac:dyDescent="0.25">
      <c r="D215" s="120"/>
      <c r="H215" s="120"/>
      <c r="L215" s="120"/>
      <c r="P215" s="120"/>
      <c r="T215" s="120"/>
      <c r="X215" s="120"/>
      <c r="AB215" s="120"/>
      <c r="AF215" s="120"/>
      <c r="AJ215" s="403"/>
    </row>
    <row r="216" spans="4:36" x14ac:dyDescent="0.25">
      <c r="D216" s="120"/>
      <c r="H216" s="120"/>
      <c r="L216" s="120"/>
      <c r="P216" s="120"/>
      <c r="T216" s="120"/>
      <c r="X216" s="120"/>
      <c r="AB216" s="120"/>
      <c r="AF216" s="120"/>
      <c r="AJ216" s="403"/>
    </row>
    <row r="217" spans="4:36" x14ac:dyDescent="0.25">
      <c r="D217" s="120"/>
      <c r="H217" s="120"/>
      <c r="L217" s="120"/>
      <c r="P217" s="120"/>
      <c r="T217" s="120"/>
      <c r="X217" s="120"/>
      <c r="AB217" s="120"/>
      <c r="AF217" s="120"/>
      <c r="AJ217" s="403"/>
    </row>
    <row r="218" spans="4:36" x14ac:dyDescent="0.25">
      <c r="D218" s="120"/>
      <c r="H218" s="120"/>
      <c r="L218" s="120"/>
      <c r="P218" s="120"/>
      <c r="T218" s="120"/>
      <c r="X218" s="120"/>
      <c r="AB218" s="120"/>
      <c r="AF218" s="120"/>
      <c r="AJ218" s="403"/>
    </row>
    <row r="219" spans="4:36" x14ac:dyDescent="0.25">
      <c r="D219" s="120"/>
      <c r="H219" s="120"/>
      <c r="L219" s="120"/>
      <c r="P219" s="120"/>
      <c r="T219" s="120"/>
      <c r="X219" s="120"/>
      <c r="AB219" s="120"/>
      <c r="AF219" s="120"/>
      <c r="AJ219" s="403"/>
    </row>
    <row r="220" spans="4:36" x14ac:dyDescent="0.25">
      <c r="D220" s="120"/>
      <c r="H220" s="120"/>
      <c r="L220" s="120"/>
      <c r="P220" s="120"/>
      <c r="T220" s="120"/>
      <c r="X220" s="120"/>
      <c r="AB220" s="120"/>
      <c r="AF220" s="120"/>
      <c r="AJ220" s="403"/>
    </row>
    <row r="221" spans="4:36" x14ac:dyDescent="0.25">
      <c r="D221" s="120"/>
      <c r="H221" s="120"/>
      <c r="L221" s="120"/>
      <c r="P221" s="120"/>
      <c r="T221" s="120"/>
      <c r="X221" s="120"/>
      <c r="AB221" s="120"/>
      <c r="AF221" s="120"/>
      <c r="AJ221" s="403"/>
    </row>
    <row r="222" spans="4:36" x14ac:dyDescent="0.25">
      <c r="D222" s="120"/>
      <c r="H222" s="120"/>
      <c r="L222" s="120"/>
      <c r="P222" s="120"/>
      <c r="T222" s="120"/>
      <c r="X222" s="120"/>
      <c r="AB222" s="120"/>
      <c r="AF222" s="120"/>
      <c r="AJ222" s="403"/>
    </row>
    <row r="223" spans="4:36" x14ac:dyDescent="0.25">
      <c r="D223" s="120"/>
      <c r="H223" s="120"/>
      <c r="L223" s="120"/>
      <c r="P223" s="120"/>
      <c r="T223" s="120"/>
      <c r="X223" s="120"/>
      <c r="AB223" s="120"/>
      <c r="AF223" s="120"/>
      <c r="AJ223" s="403"/>
    </row>
    <row r="224" spans="4:36" x14ac:dyDescent="0.25">
      <c r="D224" s="120"/>
      <c r="H224" s="120"/>
      <c r="L224" s="120"/>
      <c r="P224" s="120"/>
      <c r="T224" s="120"/>
      <c r="X224" s="120"/>
      <c r="AB224" s="120"/>
      <c r="AF224" s="120"/>
      <c r="AJ224" s="403"/>
    </row>
    <row r="225" spans="4:36" x14ac:dyDescent="0.25">
      <c r="D225" s="120"/>
      <c r="H225" s="120"/>
      <c r="L225" s="120"/>
      <c r="P225" s="120"/>
      <c r="T225" s="120"/>
      <c r="X225" s="120"/>
      <c r="AB225" s="120"/>
      <c r="AF225" s="120"/>
      <c r="AJ225" s="403"/>
    </row>
    <row r="226" spans="4:36" x14ac:dyDescent="0.25">
      <c r="D226" s="120"/>
      <c r="H226" s="120"/>
      <c r="L226" s="120"/>
      <c r="P226" s="120"/>
      <c r="T226" s="120"/>
      <c r="X226" s="120"/>
      <c r="AB226" s="120"/>
      <c r="AF226" s="120"/>
      <c r="AJ226" s="403"/>
    </row>
    <row r="227" spans="4:36" x14ac:dyDescent="0.25">
      <c r="D227" s="120"/>
      <c r="H227" s="120"/>
      <c r="L227" s="120"/>
      <c r="P227" s="120"/>
      <c r="T227" s="120"/>
      <c r="X227" s="120"/>
      <c r="AB227" s="120"/>
      <c r="AF227" s="120"/>
      <c r="AJ227" s="403"/>
    </row>
    <row r="228" spans="4:36" x14ac:dyDescent="0.25">
      <c r="D228" s="120"/>
      <c r="H228" s="120"/>
      <c r="L228" s="120"/>
      <c r="P228" s="120"/>
      <c r="T228" s="120"/>
      <c r="X228" s="120"/>
      <c r="AB228" s="120"/>
      <c r="AF228" s="120"/>
      <c r="AJ228" s="403"/>
    </row>
    <row r="229" spans="4:36" x14ac:dyDescent="0.25">
      <c r="D229" s="120"/>
      <c r="H229" s="120"/>
      <c r="L229" s="120"/>
      <c r="P229" s="120"/>
      <c r="T229" s="120"/>
      <c r="X229" s="120"/>
      <c r="AB229" s="120"/>
      <c r="AF229" s="120"/>
      <c r="AJ229" s="403"/>
    </row>
    <row r="230" spans="4:36" x14ac:dyDescent="0.25">
      <c r="D230" s="120"/>
      <c r="H230" s="120"/>
      <c r="L230" s="120"/>
      <c r="P230" s="120"/>
      <c r="T230" s="120"/>
      <c r="X230" s="120"/>
      <c r="AB230" s="120"/>
      <c r="AF230" s="120"/>
      <c r="AJ230" s="403"/>
    </row>
    <row r="231" spans="4:36" x14ac:dyDescent="0.25">
      <c r="D231" s="120"/>
      <c r="H231" s="120"/>
      <c r="L231" s="120"/>
      <c r="P231" s="120"/>
      <c r="T231" s="120"/>
      <c r="X231" s="120"/>
      <c r="AB231" s="120"/>
      <c r="AF231" s="120"/>
      <c r="AJ231" s="403"/>
    </row>
    <row r="232" spans="4:36" x14ac:dyDescent="0.25">
      <c r="D232" s="120"/>
      <c r="H232" s="120"/>
      <c r="L232" s="120"/>
      <c r="P232" s="120"/>
      <c r="T232" s="120"/>
      <c r="X232" s="120"/>
      <c r="AB232" s="120"/>
      <c r="AF232" s="120"/>
      <c r="AJ232" s="403"/>
    </row>
    <row r="233" spans="4:36" x14ac:dyDescent="0.25">
      <c r="D233" s="120"/>
      <c r="H233" s="120"/>
      <c r="L233" s="120"/>
      <c r="P233" s="120"/>
      <c r="T233" s="120"/>
      <c r="X233" s="120"/>
      <c r="AB233" s="120"/>
      <c r="AF233" s="120"/>
      <c r="AJ233" s="403"/>
    </row>
    <row r="234" spans="4:36" x14ac:dyDescent="0.25">
      <c r="D234" s="120"/>
      <c r="H234" s="120"/>
      <c r="L234" s="120"/>
      <c r="P234" s="120"/>
      <c r="T234" s="120"/>
      <c r="X234" s="120"/>
      <c r="AB234" s="120"/>
      <c r="AF234" s="120"/>
      <c r="AJ234" s="403"/>
    </row>
    <row r="235" spans="4:36" x14ac:dyDescent="0.25">
      <c r="D235" s="120"/>
      <c r="H235" s="120"/>
      <c r="L235" s="120"/>
      <c r="P235" s="120"/>
      <c r="T235" s="120"/>
      <c r="X235" s="120"/>
      <c r="AB235" s="120"/>
      <c r="AF235" s="120"/>
      <c r="AJ235" s="403"/>
    </row>
    <row r="236" spans="4:36" x14ac:dyDescent="0.25">
      <c r="D236" s="120"/>
      <c r="H236" s="120"/>
      <c r="L236" s="120"/>
      <c r="P236" s="120"/>
      <c r="T236" s="120"/>
      <c r="X236" s="120"/>
      <c r="AB236" s="120"/>
      <c r="AF236" s="120"/>
      <c r="AJ236" s="403"/>
    </row>
    <row r="237" spans="4:36" x14ac:dyDescent="0.25">
      <c r="D237" s="120"/>
      <c r="H237" s="120"/>
      <c r="L237" s="120"/>
      <c r="P237" s="120"/>
      <c r="T237" s="120"/>
      <c r="X237" s="120"/>
      <c r="AB237" s="120"/>
      <c r="AF237" s="120"/>
      <c r="AJ237" s="403"/>
    </row>
    <row r="238" spans="4:36" x14ac:dyDescent="0.25">
      <c r="D238" s="120"/>
      <c r="H238" s="120"/>
      <c r="L238" s="120"/>
      <c r="P238" s="120"/>
      <c r="T238" s="120"/>
      <c r="X238" s="120"/>
      <c r="AB238" s="120"/>
      <c r="AF238" s="120"/>
      <c r="AJ238" s="403"/>
    </row>
    <row r="239" spans="4:36" x14ac:dyDescent="0.25">
      <c r="D239" s="120"/>
      <c r="H239" s="120"/>
      <c r="L239" s="120"/>
      <c r="P239" s="120"/>
      <c r="T239" s="120"/>
      <c r="X239" s="120"/>
      <c r="AB239" s="120"/>
      <c r="AF239" s="120"/>
      <c r="AJ239" s="403"/>
    </row>
    <row r="240" spans="4:36" x14ac:dyDescent="0.25">
      <c r="D240" s="120"/>
      <c r="H240" s="120"/>
      <c r="L240" s="120"/>
      <c r="P240" s="120"/>
      <c r="T240" s="120"/>
      <c r="X240" s="120"/>
      <c r="AB240" s="120"/>
      <c r="AF240" s="120"/>
      <c r="AJ240" s="403"/>
    </row>
    <row r="241" spans="4:36" x14ac:dyDescent="0.25">
      <c r="D241" s="120"/>
      <c r="H241" s="120"/>
      <c r="L241" s="120"/>
      <c r="P241" s="120"/>
      <c r="T241" s="120"/>
      <c r="X241" s="120"/>
      <c r="AB241" s="120"/>
      <c r="AF241" s="120"/>
      <c r="AJ241" s="403"/>
    </row>
    <row r="242" spans="4:36" x14ac:dyDescent="0.25">
      <c r="D242" s="120"/>
      <c r="H242" s="120"/>
      <c r="L242" s="120"/>
      <c r="P242" s="120"/>
      <c r="T242" s="120"/>
      <c r="X242" s="120"/>
      <c r="AB242" s="120"/>
      <c r="AF242" s="120"/>
      <c r="AJ242" s="403"/>
    </row>
    <row r="243" spans="4:36" x14ac:dyDescent="0.25">
      <c r="D243" s="120"/>
      <c r="H243" s="120"/>
      <c r="L243" s="120"/>
      <c r="P243" s="120"/>
      <c r="T243" s="120"/>
      <c r="X243" s="120"/>
      <c r="AB243" s="120"/>
      <c r="AF243" s="120"/>
      <c r="AJ243" s="403"/>
    </row>
    <row r="244" spans="4:36" x14ac:dyDescent="0.25">
      <c r="D244" s="120"/>
      <c r="H244" s="120"/>
      <c r="L244" s="120"/>
      <c r="P244" s="120"/>
      <c r="T244" s="120"/>
      <c r="X244" s="120"/>
      <c r="AB244" s="120"/>
      <c r="AF244" s="120"/>
      <c r="AJ244" s="403"/>
    </row>
    <row r="245" spans="4:36" x14ac:dyDescent="0.25">
      <c r="D245" s="120"/>
      <c r="H245" s="120"/>
      <c r="L245" s="120"/>
      <c r="P245" s="120"/>
      <c r="T245" s="120"/>
      <c r="X245" s="120"/>
      <c r="AB245" s="120"/>
      <c r="AF245" s="120"/>
      <c r="AJ245" s="403"/>
    </row>
    <row r="246" spans="4:36" x14ac:dyDescent="0.25">
      <c r="D246" s="120"/>
      <c r="H246" s="120"/>
      <c r="L246" s="120"/>
      <c r="P246" s="120"/>
      <c r="T246" s="120"/>
      <c r="X246" s="120"/>
      <c r="AB246" s="120"/>
      <c r="AF246" s="120"/>
      <c r="AJ246" s="403"/>
    </row>
    <row r="247" spans="4:36" x14ac:dyDescent="0.25">
      <c r="D247" s="120"/>
      <c r="H247" s="120"/>
      <c r="L247" s="120"/>
      <c r="P247" s="120"/>
      <c r="T247" s="120"/>
      <c r="X247" s="120"/>
      <c r="AB247" s="120"/>
      <c r="AF247" s="120"/>
      <c r="AJ247" s="403"/>
    </row>
    <row r="248" spans="4:36" x14ac:dyDescent="0.25">
      <c r="D248" s="120"/>
      <c r="H248" s="120"/>
      <c r="L248" s="120"/>
      <c r="P248" s="120"/>
      <c r="T248" s="120"/>
      <c r="X248" s="120"/>
      <c r="AB248" s="120"/>
      <c r="AF248" s="120"/>
      <c r="AJ248" s="403"/>
    </row>
    <row r="249" spans="4:36" x14ac:dyDescent="0.25">
      <c r="D249" s="120"/>
      <c r="H249" s="120"/>
      <c r="L249" s="120"/>
      <c r="P249" s="120"/>
      <c r="T249" s="120"/>
      <c r="X249" s="120"/>
      <c r="AB249" s="120"/>
      <c r="AF249" s="120"/>
      <c r="AJ249" s="403"/>
    </row>
    <row r="250" spans="4:36" x14ac:dyDescent="0.25">
      <c r="D250" s="120"/>
      <c r="H250" s="120"/>
      <c r="L250" s="120"/>
      <c r="P250" s="120"/>
      <c r="T250" s="120"/>
      <c r="X250" s="120"/>
      <c r="AB250" s="120"/>
      <c r="AF250" s="120"/>
      <c r="AJ250" s="403"/>
    </row>
    <row r="251" spans="4:36" x14ac:dyDescent="0.25">
      <c r="D251" s="120"/>
      <c r="H251" s="120"/>
      <c r="L251" s="120"/>
      <c r="P251" s="120"/>
      <c r="T251" s="120"/>
      <c r="X251" s="120"/>
      <c r="AB251" s="120"/>
      <c r="AF251" s="120"/>
      <c r="AJ251" s="403"/>
    </row>
    <row r="252" spans="4:36" x14ac:dyDescent="0.25">
      <c r="D252" s="120"/>
      <c r="H252" s="120"/>
      <c r="L252" s="120"/>
      <c r="P252" s="120"/>
      <c r="T252" s="120"/>
      <c r="X252" s="120"/>
      <c r="AB252" s="120"/>
      <c r="AF252" s="120"/>
      <c r="AJ252" s="403"/>
    </row>
    <row r="253" spans="4:36" x14ac:dyDescent="0.25">
      <c r="D253" s="120"/>
      <c r="H253" s="120"/>
      <c r="L253" s="120"/>
      <c r="P253" s="120"/>
      <c r="T253" s="120"/>
      <c r="X253" s="120"/>
      <c r="AB253" s="120"/>
      <c r="AF253" s="120"/>
      <c r="AJ253" s="403"/>
    </row>
    <row r="254" spans="4:36" x14ac:dyDescent="0.25">
      <c r="D254" s="120"/>
      <c r="H254" s="120"/>
      <c r="L254" s="120"/>
      <c r="P254" s="120"/>
      <c r="T254" s="120"/>
      <c r="X254" s="120"/>
      <c r="AB254" s="120"/>
      <c r="AF254" s="120"/>
      <c r="AJ254" s="403"/>
    </row>
    <row r="255" spans="4:36" x14ac:dyDescent="0.25">
      <c r="D255" s="120"/>
      <c r="H255" s="120"/>
      <c r="L255" s="120"/>
      <c r="P255" s="120"/>
      <c r="T255" s="120"/>
      <c r="X255" s="120"/>
      <c r="AB255" s="120"/>
      <c r="AF255" s="120"/>
      <c r="AJ255" s="403"/>
    </row>
    <row r="256" spans="4:36" x14ac:dyDescent="0.25">
      <c r="D256" s="120"/>
      <c r="H256" s="120"/>
      <c r="L256" s="120"/>
      <c r="P256" s="120"/>
      <c r="T256" s="120"/>
      <c r="X256" s="120"/>
      <c r="AB256" s="120"/>
      <c r="AF256" s="120"/>
      <c r="AJ256" s="403"/>
    </row>
    <row r="257" spans="4:36" x14ac:dyDescent="0.25">
      <c r="D257" s="120"/>
      <c r="H257" s="120"/>
      <c r="L257" s="120"/>
      <c r="P257" s="120"/>
      <c r="T257" s="120"/>
      <c r="X257" s="120"/>
      <c r="AB257" s="120"/>
      <c r="AF257" s="120"/>
      <c r="AJ257" s="403"/>
    </row>
    <row r="258" spans="4:36" x14ac:dyDescent="0.25">
      <c r="D258" s="120"/>
      <c r="H258" s="120"/>
      <c r="L258" s="120"/>
      <c r="P258" s="120"/>
      <c r="T258" s="120"/>
      <c r="X258" s="120"/>
      <c r="AB258" s="120"/>
      <c r="AF258" s="120"/>
      <c r="AJ258" s="403"/>
    </row>
    <row r="259" spans="4:36" x14ac:dyDescent="0.25">
      <c r="D259" s="120"/>
      <c r="H259" s="120"/>
      <c r="L259" s="120"/>
      <c r="P259" s="120"/>
      <c r="T259" s="120"/>
      <c r="X259" s="120"/>
      <c r="AB259" s="120"/>
      <c r="AF259" s="120"/>
      <c r="AJ259" s="403"/>
    </row>
    <row r="260" spans="4:36" x14ac:dyDescent="0.25">
      <c r="D260" s="120"/>
      <c r="H260" s="120"/>
      <c r="L260" s="120"/>
      <c r="P260" s="120"/>
      <c r="T260" s="120"/>
      <c r="X260" s="120"/>
      <c r="AB260" s="120"/>
      <c r="AF260" s="120"/>
      <c r="AJ260" s="403"/>
    </row>
    <row r="261" spans="4:36" x14ac:dyDescent="0.25">
      <c r="D261" s="120"/>
      <c r="H261" s="120"/>
      <c r="L261" s="120"/>
      <c r="P261" s="120"/>
      <c r="T261" s="120"/>
      <c r="X261" s="120"/>
      <c r="AB261" s="120"/>
      <c r="AF261" s="120"/>
      <c r="AJ261" s="403"/>
    </row>
    <row r="262" spans="4:36" x14ac:dyDescent="0.25">
      <c r="D262" s="120"/>
      <c r="H262" s="120"/>
      <c r="L262" s="120"/>
      <c r="P262" s="120"/>
      <c r="T262" s="120"/>
      <c r="X262" s="120"/>
      <c r="AB262" s="120"/>
      <c r="AF262" s="120"/>
      <c r="AJ262" s="403"/>
    </row>
    <row r="263" spans="4:36" x14ac:dyDescent="0.25">
      <c r="D263" s="120"/>
      <c r="H263" s="120"/>
      <c r="L263" s="120"/>
      <c r="P263" s="120"/>
      <c r="T263" s="120"/>
      <c r="X263" s="120"/>
      <c r="AB263" s="120"/>
      <c r="AF263" s="120"/>
      <c r="AJ263" s="403"/>
    </row>
    <row r="264" spans="4:36" x14ac:dyDescent="0.25">
      <c r="D264" s="120"/>
      <c r="H264" s="120"/>
      <c r="L264" s="120"/>
      <c r="P264" s="120"/>
      <c r="T264" s="120"/>
      <c r="X264" s="120"/>
      <c r="AB264" s="120"/>
      <c r="AF264" s="120"/>
      <c r="AJ264" s="403"/>
    </row>
    <row r="265" spans="4:36" x14ac:dyDescent="0.25">
      <c r="D265" s="120"/>
      <c r="H265" s="120"/>
      <c r="L265" s="120"/>
      <c r="P265" s="120"/>
      <c r="T265" s="120"/>
      <c r="X265" s="120"/>
      <c r="AB265" s="120"/>
      <c r="AF265" s="120"/>
      <c r="AJ265" s="403"/>
    </row>
    <row r="266" spans="4:36" x14ac:dyDescent="0.25">
      <c r="D266" s="120"/>
      <c r="H266" s="120"/>
      <c r="L266" s="120"/>
      <c r="P266" s="120"/>
      <c r="T266" s="120"/>
      <c r="X266" s="120"/>
      <c r="AB266" s="120"/>
      <c r="AF266" s="120"/>
      <c r="AJ266" s="403"/>
    </row>
    <row r="267" spans="4:36" x14ac:dyDescent="0.25">
      <c r="D267" s="120"/>
      <c r="H267" s="120"/>
      <c r="L267" s="120"/>
      <c r="P267" s="120"/>
      <c r="T267" s="120"/>
      <c r="X267" s="120"/>
      <c r="AB267" s="120"/>
      <c r="AF267" s="120"/>
      <c r="AJ267" s="403"/>
    </row>
    <row r="268" spans="4:36" x14ac:dyDescent="0.25">
      <c r="D268" s="120"/>
      <c r="H268" s="120"/>
      <c r="L268" s="120"/>
      <c r="P268" s="120"/>
      <c r="T268" s="120"/>
      <c r="X268" s="120"/>
      <c r="AB268" s="120"/>
      <c r="AF268" s="120"/>
      <c r="AJ268" s="403"/>
    </row>
    <row r="269" spans="4:36" x14ac:dyDescent="0.25">
      <c r="D269" s="120"/>
      <c r="H269" s="120"/>
      <c r="L269" s="120"/>
      <c r="P269" s="120"/>
      <c r="T269" s="120"/>
      <c r="X269" s="120"/>
      <c r="AB269" s="120"/>
      <c r="AF269" s="120"/>
      <c r="AJ269" s="403"/>
    </row>
    <row r="270" spans="4:36" x14ac:dyDescent="0.25">
      <c r="D270" s="120"/>
      <c r="H270" s="120"/>
      <c r="L270" s="120"/>
      <c r="P270" s="120"/>
      <c r="T270" s="120"/>
      <c r="X270" s="120"/>
      <c r="AB270" s="120"/>
      <c r="AF270" s="120"/>
      <c r="AJ270" s="403"/>
    </row>
    <row r="271" spans="4:36" x14ac:dyDescent="0.25">
      <c r="D271" s="120"/>
      <c r="H271" s="120"/>
      <c r="L271" s="120"/>
      <c r="P271" s="120"/>
      <c r="T271" s="120"/>
      <c r="X271" s="120"/>
      <c r="AB271" s="120"/>
      <c r="AF271" s="120"/>
      <c r="AJ271" s="403"/>
    </row>
    <row r="272" spans="4:36" x14ac:dyDescent="0.25">
      <c r="D272" s="120"/>
      <c r="H272" s="120"/>
      <c r="L272" s="120"/>
      <c r="P272" s="120"/>
      <c r="T272" s="120"/>
      <c r="X272" s="120"/>
      <c r="AB272" s="120"/>
      <c r="AF272" s="120"/>
      <c r="AJ272" s="403"/>
    </row>
    <row r="273" spans="4:36" x14ac:dyDescent="0.25">
      <c r="D273" s="120"/>
      <c r="H273" s="120"/>
      <c r="L273" s="120"/>
      <c r="P273" s="120"/>
      <c r="T273" s="120"/>
      <c r="X273" s="120"/>
      <c r="AB273" s="120"/>
      <c r="AF273" s="120"/>
      <c r="AJ273" s="403"/>
    </row>
    <row r="274" spans="4:36" x14ac:dyDescent="0.25">
      <c r="D274" s="120"/>
      <c r="H274" s="120"/>
      <c r="L274" s="120"/>
      <c r="P274" s="120"/>
      <c r="T274" s="120"/>
      <c r="X274" s="120"/>
      <c r="AB274" s="120"/>
      <c r="AF274" s="120"/>
      <c r="AJ274" s="403"/>
    </row>
    <row r="275" spans="4:36" x14ac:dyDescent="0.25">
      <c r="D275" s="120"/>
      <c r="H275" s="120"/>
      <c r="L275" s="120"/>
      <c r="P275" s="120"/>
      <c r="T275" s="120"/>
      <c r="X275" s="120"/>
      <c r="AB275" s="120"/>
      <c r="AF275" s="120"/>
      <c r="AJ275" s="403"/>
    </row>
    <row r="276" spans="4:36" x14ac:dyDescent="0.25">
      <c r="D276" s="120"/>
      <c r="H276" s="120"/>
      <c r="L276" s="120"/>
      <c r="P276" s="120"/>
      <c r="T276" s="120"/>
      <c r="X276" s="120"/>
      <c r="AB276" s="120"/>
      <c r="AF276" s="120"/>
      <c r="AJ276" s="403"/>
    </row>
    <row r="277" spans="4:36" x14ac:dyDescent="0.25">
      <c r="D277" s="120"/>
      <c r="H277" s="120"/>
      <c r="L277" s="120"/>
      <c r="P277" s="120"/>
      <c r="T277" s="120"/>
      <c r="X277" s="120"/>
      <c r="AB277" s="120"/>
      <c r="AF277" s="120"/>
      <c r="AJ277" s="403"/>
    </row>
    <row r="278" spans="4:36" x14ac:dyDescent="0.25">
      <c r="D278" s="120"/>
      <c r="H278" s="120"/>
      <c r="L278" s="120"/>
      <c r="P278" s="120"/>
      <c r="T278" s="120"/>
      <c r="X278" s="120"/>
      <c r="AB278" s="120"/>
      <c r="AF278" s="120"/>
      <c r="AJ278" s="403"/>
    </row>
    <row r="279" spans="4:36" x14ac:dyDescent="0.25">
      <c r="D279" s="120"/>
      <c r="H279" s="120"/>
      <c r="L279" s="120"/>
      <c r="P279" s="120"/>
      <c r="T279" s="120"/>
      <c r="X279" s="120"/>
      <c r="AB279" s="120"/>
      <c r="AF279" s="120"/>
      <c r="AJ279" s="403"/>
    </row>
    <row r="280" spans="4:36" x14ac:dyDescent="0.25">
      <c r="D280" s="120"/>
      <c r="H280" s="120"/>
      <c r="L280" s="120"/>
      <c r="P280" s="120"/>
      <c r="T280" s="120"/>
      <c r="X280" s="120"/>
      <c r="AB280" s="120"/>
      <c r="AF280" s="120"/>
      <c r="AJ280" s="403"/>
    </row>
    <row r="281" spans="4:36" x14ac:dyDescent="0.25">
      <c r="D281" s="120"/>
      <c r="H281" s="120"/>
      <c r="L281" s="120"/>
      <c r="P281" s="120"/>
      <c r="T281" s="120"/>
      <c r="X281" s="120"/>
      <c r="AB281" s="120"/>
      <c r="AF281" s="120"/>
      <c r="AJ281" s="403"/>
    </row>
    <row r="282" spans="4:36" x14ac:dyDescent="0.25">
      <c r="D282" s="120"/>
      <c r="H282" s="120"/>
      <c r="L282" s="120"/>
      <c r="P282" s="120"/>
      <c r="T282" s="120"/>
      <c r="X282" s="120"/>
      <c r="AB282" s="120"/>
      <c r="AF282" s="120"/>
      <c r="AJ282" s="403"/>
    </row>
    <row r="283" spans="4:36" x14ac:dyDescent="0.25">
      <c r="D283" s="120"/>
      <c r="H283" s="120"/>
      <c r="L283" s="120"/>
      <c r="P283" s="120"/>
      <c r="T283" s="120"/>
      <c r="X283" s="120"/>
      <c r="AB283" s="120"/>
      <c r="AF283" s="120"/>
      <c r="AJ283" s="403"/>
    </row>
    <row r="284" spans="4:36" x14ac:dyDescent="0.25">
      <c r="D284" s="120"/>
      <c r="H284" s="120"/>
      <c r="L284" s="120"/>
      <c r="P284" s="120"/>
      <c r="T284" s="120"/>
      <c r="X284" s="120"/>
      <c r="AB284" s="120"/>
      <c r="AF284" s="120"/>
      <c r="AJ284" s="403"/>
    </row>
    <row r="285" spans="4:36" x14ac:dyDescent="0.25">
      <c r="D285" s="120"/>
      <c r="H285" s="120"/>
      <c r="L285" s="120"/>
      <c r="P285" s="120"/>
      <c r="T285" s="120"/>
      <c r="X285" s="120"/>
      <c r="AB285" s="120"/>
      <c r="AF285" s="120"/>
      <c r="AJ285" s="403"/>
    </row>
    <row r="286" spans="4:36" x14ac:dyDescent="0.25">
      <c r="D286" s="120"/>
      <c r="H286" s="120"/>
      <c r="L286" s="120"/>
      <c r="P286" s="120"/>
      <c r="T286" s="120"/>
      <c r="X286" s="120"/>
      <c r="AB286" s="120"/>
      <c r="AF286" s="120"/>
      <c r="AJ286" s="403"/>
    </row>
    <row r="287" spans="4:36" x14ac:dyDescent="0.25">
      <c r="D287" s="120"/>
      <c r="H287" s="120"/>
      <c r="L287" s="120"/>
      <c r="P287" s="120"/>
      <c r="T287" s="120"/>
      <c r="X287" s="120"/>
      <c r="AB287" s="120"/>
      <c r="AF287" s="120"/>
      <c r="AJ287" s="403"/>
    </row>
    <row r="288" spans="4:36" x14ac:dyDescent="0.25">
      <c r="D288" s="120"/>
      <c r="H288" s="120"/>
      <c r="L288" s="120"/>
      <c r="P288" s="120"/>
      <c r="T288" s="120"/>
      <c r="X288" s="120"/>
      <c r="AB288" s="120"/>
      <c r="AF288" s="120"/>
      <c r="AJ288" s="403"/>
    </row>
    <row r="289" spans="4:36" x14ac:dyDescent="0.25">
      <c r="D289" s="120"/>
      <c r="H289" s="120"/>
      <c r="L289" s="120"/>
      <c r="P289" s="120"/>
      <c r="T289" s="120"/>
      <c r="X289" s="120"/>
      <c r="AB289" s="120"/>
      <c r="AF289" s="120"/>
      <c r="AJ289" s="403"/>
    </row>
    <row r="290" spans="4:36" x14ac:dyDescent="0.25">
      <c r="D290" s="120"/>
      <c r="H290" s="120"/>
      <c r="L290" s="120"/>
      <c r="P290" s="120"/>
      <c r="T290" s="120"/>
      <c r="X290" s="120"/>
      <c r="AB290" s="120"/>
      <c r="AF290" s="120"/>
      <c r="AJ290" s="403"/>
    </row>
    <row r="291" spans="4:36" x14ac:dyDescent="0.25">
      <c r="D291" s="120"/>
      <c r="H291" s="120"/>
      <c r="L291" s="120"/>
      <c r="P291" s="120"/>
      <c r="T291" s="120"/>
      <c r="X291" s="120"/>
      <c r="AB291" s="120"/>
      <c r="AF291" s="120"/>
      <c r="AJ291" s="403"/>
    </row>
    <row r="292" spans="4:36" x14ac:dyDescent="0.25">
      <c r="D292" s="120"/>
      <c r="H292" s="120"/>
      <c r="L292" s="120"/>
      <c r="P292" s="120"/>
      <c r="T292" s="120"/>
      <c r="X292" s="120"/>
      <c r="AB292" s="120"/>
      <c r="AF292" s="120"/>
      <c r="AJ292" s="403"/>
    </row>
    <row r="293" spans="4:36" x14ac:dyDescent="0.25">
      <c r="D293" s="120"/>
      <c r="H293" s="120"/>
      <c r="L293" s="120"/>
      <c r="P293" s="120"/>
      <c r="T293" s="120"/>
      <c r="X293" s="120"/>
      <c r="AB293" s="120"/>
      <c r="AF293" s="120"/>
      <c r="AJ293" s="403"/>
    </row>
    <row r="294" spans="4:36" x14ac:dyDescent="0.25">
      <c r="D294" s="120"/>
      <c r="H294" s="120"/>
      <c r="L294" s="120"/>
      <c r="P294" s="120"/>
      <c r="T294" s="120"/>
      <c r="X294" s="120"/>
      <c r="AB294" s="120"/>
      <c r="AF294" s="120"/>
      <c r="AJ294" s="403"/>
    </row>
    <row r="295" spans="4:36" x14ac:dyDescent="0.25">
      <c r="D295" s="120"/>
      <c r="H295" s="120"/>
      <c r="L295" s="120"/>
      <c r="P295" s="120"/>
      <c r="T295" s="120"/>
      <c r="X295" s="120"/>
      <c r="AB295" s="120"/>
      <c r="AF295" s="120"/>
      <c r="AJ295" s="403"/>
    </row>
    <row r="296" spans="4:36" x14ac:dyDescent="0.25">
      <c r="D296" s="120"/>
      <c r="H296" s="120"/>
      <c r="L296" s="120"/>
      <c r="P296" s="120"/>
      <c r="T296" s="120"/>
      <c r="X296" s="120"/>
      <c r="AB296" s="120"/>
      <c r="AF296" s="120"/>
      <c r="AJ296" s="403"/>
    </row>
    <row r="297" spans="4:36" x14ac:dyDescent="0.25">
      <c r="D297" s="120"/>
      <c r="H297" s="120"/>
      <c r="L297" s="120"/>
      <c r="P297" s="120"/>
      <c r="T297" s="120"/>
      <c r="X297" s="120"/>
      <c r="AB297" s="120"/>
      <c r="AF297" s="120"/>
      <c r="AJ297" s="403"/>
    </row>
    <row r="298" spans="4:36" x14ac:dyDescent="0.25">
      <c r="D298" s="120"/>
      <c r="H298" s="120"/>
      <c r="L298" s="120"/>
      <c r="P298" s="120"/>
      <c r="T298" s="120"/>
      <c r="X298" s="120"/>
      <c r="AB298" s="120"/>
      <c r="AF298" s="120"/>
      <c r="AJ298" s="403"/>
    </row>
    <row r="299" spans="4:36" x14ac:dyDescent="0.25">
      <c r="D299" s="120"/>
      <c r="H299" s="120"/>
      <c r="L299" s="120"/>
      <c r="P299" s="120"/>
      <c r="T299" s="120"/>
      <c r="X299" s="120"/>
      <c r="AB299" s="120"/>
      <c r="AF299" s="120"/>
      <c r="AJ299" s="403"/>
    </row>
    <row r="300" spans="4:36" x14ac:dyDescent="0.25">
      <c r="D300" s="120"/>
      <c r="H300" s="120"/>
      <c r="L300" s="120"/>
      <c r="P300" s="120"/>
      <c r="T300" s="120"/>
      <c r="X300" s="120"/>
      <c r="AB300" s="120"/>
      <c r="AF300" s="120"/>
      <c r="AJ300" s="403"/>
    </row>
    <row r="301" spans="4:36" x14ac:dyDescent="0.25">
      <c r="D301" s="120"/>
      <c r="H301" s="120"/>
      <c r="L301" s="120"/>
      <c r="P301" s="120"/>
      <c r="T301" s="120"/>
      <c r="X301" s="120"/>
      <c r="AB301" s="120"/>
      <c r="AF301" s="120"/>
      <c r="AJ301" s="403"/>
    </row>
    <row r="302" spans="4:36" x14ac:dyDescent="0.25">
      <c r="D302" s="120"/>
      <c r="H302" s="120"/>
      <c r="L302" s="120"/>
      <c r="P302" s="120"/>
      <c r="T302" s="120"/>
      <c r="X302" s="120"/>
      <c r="AB302" s="120"/>
      <c r="AF302" s="120"/>
      <c r="AJ302" s="403"/>
    </row>
    <row r="303" spans="4:36" x14ac:dyDescent="0.25">
      <c r="D303" s="120"/>
      <c r="H303" s="120"/>
      <c r="L303" s="120"/>
      <c r="P303" s="120"/>
      <c r="T303" s="120"/>
      <c r="X303" s="120"/>
      <c r="AB303" s="120"/>
      <c r="AF303" s="120"/>
      <c r="AJ303" s="403"/>
    </row>
    <row r="304" spans="4:36" x14ac:dyDescent="0.25">
      <c r="D304" s="120"/>
      <c r="H304" s="120"/>
      <c r="L304" s="120"/>
      <c r="P304" s="120"/>
      <c r="T304" s="120"/>
      <c r="X304" s="120"/>
      <c r="AB304" s="120"/>
      <c r="AF304" s="120"/>
      <c r="AJ304" s="403"/>
    </row>
    <row r="305" spans="4:36" x14ac:dyDescent="0.25">
      <c r="D305" s="120"/>
      <c r="H305" s="120"/>
      <c r="L305" s="120"/>
      <c r="P305" s="120"/>
      <c r="T305" s="120"/>
      <c r="X305" s="120"/>
      <c r="AB305" s="120"/>
      <c r="AF305" s="120"/>
      <c r="AJ305" s="403"/>
    </row>
    <row r="306" spans="4:36" x14ac:dyDescent="0.25">
      <c r="D306" s="120"/>
      <c r="H306" s="120"/>
      <c r="L306" s="120"/>
      <c r="P306" s="120"/>
      <c r="T306" s="120"/>
      <c r="X306" s="120"/>
      <c r="AB306" s="120"/>
      <c r="AF306" s="120"/>
      <c r="AJ306" s="403"/>
    </row>
    <row r="307" spans="4:36" x14ac:dyDescent="0.25">
      <c r="D307" s="120"/>
      <c r="H307" s="120"/>
      <c r="L307" s="120"/>
      <c r="P307" s="120"/>
      <c r="T307" s="120"/>
      <c r="X307" s="120"/>
      <c r="AB307" s="120"/>
      <c r="AF307" s="120"/>
      <c r="AJ307" s="403"/>
    </row>
    <row r="308" spans="4:36" x14ac:dyDescent="0.25">
      <c r="D308" s="120"/>
      <c r="H308" s="120"/>
      <c r="L308" s="120"/>
      <c r="P308" s="120"/>
      <c r="T308" s="120"/>
      <c r="X308" s="120"/>
      <c r="AB308" s="120"/>
      <c r="AF308" s="120"/>
      <c r="AJ308" s="403"/>
    </row>
    <row r="309" spans="4:36" x14ac:dyDescent="0.25">
      <c r="D309" s="120"/>
      <c r="H309" s="120"/>
      <c r="L309" s="120"/>
      <c r="P309" s="120"/>
      <c r="T309" s="120"/>
      <c r="X309" s="120"/>
      <c r="AB309" s="120"/>
      <c r="AF309" s="120"/>
      <c r="AJ309" s="403"/>
    </row>
    <row r="310" spans="4:36" x14ac:dyDescent="0.25">
      <c r="D310" s="120"/>
      <c r="H310" s="120"/>
      <c r="L310" s="120"/>
      <c r="P310" s="120"/>
      <c r="T310" s="120"/>
      <c r="X310" s="120"/>
      <c r="AB310" s="120"/>
      <c r="AF310" s="120"/>
      <c r="AJ310" s="403"/>
    </row>
    <row r="311" spans="4:36" x14ac:dyDescent="0.25">
      <c r="D311" s="120"/>
      <c r="H311" s="120"/>
      <c r="L311" s="120"/>
      <c r="P311" s="120"/>
      <c r="T311" s="120"/>
      <c r="X311" s="120"/>
      <c r="AB311" s="120"/>
      <c r="AF311" s="120"/>
      <c r="AJ311" s="403"/>
    </row>
    <row r="312" spans="4:36" x14ac:dyDescent="0.25">
      <c r="D312" s="120"/>
      <c r="H312" s="120"/>
      <c r="L312" s="120"/>
      <c r="P312" s="120"/>
      <c r="T312" s="120"/>
      <c r="X312" s="120"/>
      <c r="AB312" s="120"/>
      <c r="AF312" s="120"/>
      <c r="AJ312" s="403"/>
    </row>
    <row r="313" spans="4:36" x14ac:dyDescent="0.25">
      <c r="D313" s="120"/>
      <c r="H313" s="120"/>
      <c r="L313" s="120"/>
      <c r="P313" s="120"/>
      <c r="T313" s="120"/>
      <c r="X313" s="120"/>
      <c r="AB313" s="120"/>
      <c r="AF313" s="120"/>
      <c r="AJ313" s="403"/>
    </row>
    <row r="314" spans="4:36" x14ac:dyDescent="0.25">
      <c r="D314" s="120"/>
      <c r="H314" s="120"/>
      <c r="L314" s="120"/>
      <c r="P314" s="120"/>
      <c r="T314" s="120"/>
      <c r="X314" s="120"/>
      <c r="AB314" s="120"/>
      <c r="AF314" s="120"/>
      <c r="AJ314" s="403"/>
    </row>
    <row r="315" spans="4:36" x14ac:dyDescent="0.25">
      <c r="D315" s="120"/>
      <c r="H315" s="120"/>
      <c r="L315" s="120"/>
      <c r="P315" s="120"/>
      <c r="T315" s="120"/>
      <c r="X315" s="120"/>
      <c r="AB315" s="120"/>
      <c r="AF315" s="120"/>
      <c r="AJ315" s="403"/>
    </row>
    <row r="316" spans="4:36" x14ac:dyDescent="0.25">
      <c r="D316" s="120"/>
      <c r="H316" s="120"/>
      <c r="L316" s="120"/>
      <c r="P316" s="120"/>
      <c r="T316" s="120"/>
      <c r="X316" s="120"/>
      <c r="AB316" s="120"/>
      <c r="AF316" s="120"/>
      <c r="AJ316" s="403"/>
    </row>
    <row r="317" spans="4:36" x14ac:dyDescent="0.25">
      <c r="D317" s="120"/>
      <c r="H317" s="120"/>
      <c r="L317" s="120"/>
      <c r="P317" s="120"/>
      <c r="T317" s="120"/>
      <c r="X317" s="120"/>
      <c r="AB317" s="120"/>
      <c r="AF317" s="120"/>
      <c r="AJ317" s="403"/>
    </row>
    <row r="318" spans="4:36" x14ac:dyDescent="0.25">
      <c r="D318" s="120"/>
      <c r="H318" s="120"/>
      <c r="L318" s="120"/>
      <c r="P318" s="120"/>
      <c r="T318" s="120"/>
      <c r="X318" s="120"/>
      <c r="AB318" s="120"/>
      <c r="AF318" s="120"/>
      <c r="AJ318" s="403"/>
    </row>
    <row r="319" spans="4:36" x14ac:dyDescent="0.25">
      <c r="D319" s="120"/>
      <c r="H319" s="120"/>
      <c r="L319" s="120"/>
      <c r="P319" s="120"/>
      <c r="T319" s="120"/>
      <c r="X319" s="120"/>
      <c r="AB319" s="120"/>
      <c r="AF319" s="120"/>
      <c r="AJ319" s="403"/>
    </row>
    <row r="320" spans="4:36" x14ac:dyDescent="0.25">
      <c r="D320" s="120"/>
      <c r="H320" s="120"/>
      <c r="L320" s="120"/>
      <c r="P320" s="120"/>
      <c r="T320" s="120"/>
      <c r="X320" s="120"/>
      <c r="AB320" s="120"/>
      <c r="AF320" s="120"/>
      <c r="AJ320" s="403"/>
    </row>
    <row r="321" spans="4:36" x14ac:dyDescent="0.25">
      <c r="D321" s="120"/>
      <c r="H321" s="120"/>
      <c r="L321" s="120"/>
      <c r="P321" s="120"/>
      <c r="T321" s="120"/>
      <c r="X321" s="120"/>
      <c r="AB321" s="120"/>
      <c r="AF321" s="120"/>
      <c r="AJ321" s="403"/>
    </row>
    <row r="322" spans="4:36" x14ac:dyDescent="0.25">
      <c r="D322" s="120"/>
      <c r="H322" s="120"/>
      <c r="L322" s="120"/>
      <c r="P322" s="120"/>
      <c r="T322" s="120"/>
      <c r="X322" s="120"/>
      <c r="AB322" s="120"/>
      <c r="AF322" s="120"/>
      <c r="AJ322" s="403"/>
    </row>
    <row r="323" spans="4:36" x14ac:dyDescent="0.25">
      <c r="D323" s="120"/>
      <c r="H323" s="120"/>
      <c r="L323" s="120"/>
      <c r="P323" s="120"/>
      <c r="T323" s="120"/>
      <c r="X323" s="120"/>
      <c r="AB323" s="120"/>
      <c r="AF323" s="120"/>
      <c r="AJ323" s="403"/>
    </row>
    <row r="324" spans="4:36" x14ac:dyDescent="0.25">
      <c r="D324" s="120"/>
      <c r="H324" s="120"/>
      <c r="L324" s="120"/>
      <c r="P324" s="120"/>
      <c r="T324" s="120"/>
      <c r="X324" s="120"/>
      <c r="AB324" s="120"/>
      <c r="AF324" s="120"/>
      <c r="AJ324" s="403"/>
    </row>
    <row r="325" spans="4:36" x14ac:dyDescent="0.25">
      <c r="D325" s="120"/>
      <c r="H325" s="120"/>
      <c r="L325" s="120"/>
      <c r="P325" s="120"/>
      <c r="T325" s="120"/>
      <c r="X325" s="120"/>
      <c r="AB325" s="120"/>
      <c r="AF325" s="120"/>
      <c r="AJ325" s="403"/>
    </row>
    <row r="326" spans="4:36" x14ac:dyDescent="0.25">
      <c r="D326" s="120"/>
      <c r="H326" s="120"/>
      <c r="L326" s="120"/>
      <c r="P326" s="120"/>
      <c r="T326" s="120"/>
      <c r="X326" s="120"/>
      <c r="AB326" s="120"/>
      <c r="AF326" s="120"/>
      <c r="AJ326" s="403"/>
    </row>
    <row r="327" spans="4:36" x14ac:dyDescent="0.25">
      <c r="D327" s="120"/>
      <c r="H327" s="120"/>
      <c r="L327" s="120"/>
      <c r="P327" s="120"/>
      <c r="T327" s="120"/>
      <c r="X327" s="120"/>
      <c r="AB327" s="120"/>
      <c r="AF327" s="120"/>
      <c r="AJ327" s="403"/>
    </row>
    <row r="328" spans="4:36" x14ac:dyDescent="0.25">
      <c r="D328" s="120"/>
      <c r="H328" s="120"/>
      <c r="L328" s="120"/>
      <c r="P328" s="120"/>
      <c r="T328" s="120"/>
      <c r="X328" s="120"/>
      <c r="AB328" s="120"/>
      <c r="AF328" s="120"/>
      <c r="AJ328" s="403"/>
    </row>
    <row r="329" spans="4:36" x14ac:dyDescent="0.25">
      <c r="D329" s="120"/>
      <c r="H329" s="120"/>
      <c r="L329" s="120"/>
      <c r="P329" s="120"/>
      <c r="T329" s="120"/>
      <c r="X329" s="120"/>
      <c r="AB329" s="120"/>
      <c r="AF329" s="120"/>
      <c r="AJ329" s="403"/>
    </row>
    <row r="330" spans="4:36" x14ac:dyDescent="0.25">
      <c r="D330" s="120"/>
      <c r="H330" s="120"/>
      <c r="L330" s="120"/>
      <c r="P330" s="120"/>
      <c r="T330" s="120"/>
      <c r="X330" s="120"/>
      <c r="AB330" s="120"/>
      <c r="AF330" s="120"/>
      <c r="AJ330" s="403"/>
    </row>
    <row r="331" spans="4:36" x14ac:dyDescent="0.25">
      <c r="D331" s="120"/>
      <c r="H331" s="120"/>
      <c r="L331" s="120"/>
      <c r="P331" s="120"/>
      <c r="T331" s="120"/>
      <c r="X331" s="120"/>
      <c r="AB331" s="120"/>
      <c r="AF331" s="120"/>
      <c r="AJ331" s="403"/>
    </row>
    <row r="332" spans="4:36" x14ac:dyDescent="0.25">
      <c r="D332" s="120"/>
      <c r="H332" s="120"/>
      <c r="L332" s="120"/>
      <c r="P332" s="120"/>
      <c r="T332" s="120"/>
      <c r="X332" s="120"/>
      <c r="AB332" s="120"/>
      <c r="AF332" s="120"/>
      <c r="AJ332" s="403"/>
    </row>
    <row r="333" spans="4:36" x14ac:dyDescent="0.25">
      <c r="D333" s="120"/>
      <c r="H333" s="120"/>
      <c r="L333" s="120"/>
      <c r="P333" s="120"/>
      <c r="T333" s="120"/>
      <c r="X333" s="120"/>
      <c r="AB333" s="120"/>
      <c r="AF333" s="120"/>
      <c r="AJ333" s="403"/>
    </row>
    <row r="334" spans="4:36" x14ac:dyDescent="0.25">
      <c r="D334" s="120"/>
      <c r="H334" s="120"/>
      <c r="L334" s="120"/>
      <c r="P334" s="120"/>
      <c r="T334" s="120"/>
      <c r="X334" s="120"/>
      <c r="AB334" s="120"/>
      <c r="AF334" s="120"/>
      <c r="AJ334" s="403"/>
    </row>
    <row r="335" spans="4:36" x14ac:dyDescent="0.25">
      <c r="D335" s="120"/>
      <c r="H335" s="120"/>
      <c r="L335" s="120"/>
      <c r="P335" s="120"/>
      <c r="T335" s="120"/>
      <c r="X335" s="120"/>
      <c r="AB335" s="120"/>
      <c r="AF335" s="120"/>
      <c r="AJ335" s="403"/>
    </row>
    <row r="336" spans="4:36" x14ac:dyDescent="0.25">
      <c r="D336" s="120"/>
      <c r="H336" s="120"/>
      <c r="L336" s="120"/>
      <c r="P336" s="120"/>
      <c r="T336" s="120"/>
      <c r="X336" s="120"/>
      <c r="AB336" s="120"/>
      <c r="AF336" s="120"/>
      <c r="AJ336" s="403"/>
    </row>
    <row r="337" spans="4:36" x14ac:dyDescent="0.25">
      <c r="D337" s="120"/>
      <c r="H337" s="120"/>
      <c r="L337" s="120"/>
      <c r="P337" s="120"/>
      <c r="T337" s="120"/>
      <c r="X337" s="120"/>
      <c r="AB337" s="120"/>
      <c r="AF337" s="120"/>
      <c r="AJ337" s="403"/>
    </row>
    <row r="338" spans="4:36" x14ac:dyDescent="0.25">
      <c r="D338" s="120"/>
      <c r="H338" s="120"/>
      <c r="L338" s="120"/>
      <c r="P338" s="120"/>
      <c r="T338" s="120"/>
      <c r="X338" s="120"/>
      <c r="AB338" s="120"/>
      <c r="AF338" s="120"/>
      <c r="AJ338" s="403"/>
    </row>
    <row r="339" spans="4:36" x14ac:dyDescent="0.25">
      <c r="D339" s="120"/>
      <c r="H339" s="120"/>
      <c r="L339" s="120"/>
      <c r="P339" s="120"/>
      <c r="T339" s="120"/>
      <c r="X339" s="120"/>
      <c r="AB339" s="120"/>
      <c r="AF339" s="120"/>
      <c r="AJ339" s="403"/>
    </row>
    <row r="340" spans="4:36" x14ac:dyDescent="0.25">
      <c r="D340" s="120"/>
      <c r="H340" s="120"/>
      <c r="L340" s="120"/>
      <c r="P340" s="120"/>
      <c r="T340" s="120"/>
      <c r="X340" s="120"/>
      <c r="AB340" s="120"/>
      <c r="AF340" s="120"/>
      <c r="AJ340" s="403"/>
    </row>
    <row r="341" spans="4:36" x14ac:dyDescent="0.25">
      <c r="D341" s="120"/>
      <c r="H341" s="120"/>
      <c r="L341" s="120"/>
      <c r="P341" s="120"/>
      <c r="T341" s="120"/>
      <c r="X341" s="120"/>
      <c r="AB341" s="120"/>
      <c r="AF341" s="120"/>
      <c r="AJ341" s="403"/>
    </row>
    <row r="342" spans="4:36" x14ac:dyDescent="0.25">
      <c r="D342" s="120"/>
      <c r="H342" s="120"/>
      <c r="L342" s="120"/>
      <c r="P342" s="120"/>
      <c r="T342" s="120"/>
      <c r="X342" s="120"/>
      <c r="AB342" s="120"/>
      <c r="AF342" s="120"/>
      <c r="AJ342" s="403"/>
    </row>
    <row r="343" spans="4:36" x14ac:dyDescent="0.25">
      <c r="D343" s="120"/>
      <c r="H343" s="120"/>
      <c r="L343" s="120"/>
      <c r="P343" s="120"/>
      <c r="T343" s="120"/>
      <c r="X343" s="120"/>
      <c r="AB343" s="120"/>
      <c r="AF343" s="120"/>
      <c r="AJ343" s="403"/>
    </row>
    <row r="344" spans="4:36" x14ac:dyDescent="0.25">
      <c r="D344" s="120"/>
      <c r="H344" s="120"/>
      <c r="L344" s="120"/>
      <c r="P344" s="120"/>
      <c r="T344" s="120"/>
      <c r="X344" s="120"/>
      <c r="AB344" s="120"/>
      <c r="AF344" s="120"/>
      <c r="AJ344" s="403"/>
    </row>
    <row r="345" spans="4:36" x14ac:dyDescent="0.25">
      <c r="D345" s="120"/>
      <c r="H345" s="120"/>
      <c r="L345" s="120"/>
      <c r="P345" s="120"/>
      <c r="T345" s="120"/>
      <c r="X345" s="120"/>
      <c r="AB345" s="120"/>
      <c r="AF345" s="120"/>
      <c r="AJ345" s="403"/>
    </row>
    <row r="346" spans="4:36" x14ac:dyDescent="0.25">
      <c r="D346" s="120"/>
      <c r="H346" s="120"/>
      <c r="L346" s="120"/>
      <c r="P346" s="120"/>
      <c r="T346" s="120"/>
      <c r="X346" s="120"/>
      <c r="AB346" s="120"/>
      <c r="AF346" s="120"/>
      <c r="AJ346" s="403"/>
    </row>
    <row r="347" spans="4:36" x14ac:dyDescent="0.25">
      <c r="D347" s="120"/>
      <c r="H347" s="120"/>
      <c r="L347" s="120"/>
      <c r="P347" s="120"/>
      <c r="T347" s="120"/>
      <c r="X347" s="120"/>
      <c r="AB347" s="120"/>
      <c r="AF347" s="120"/>
      <c r="AJ347" s="403"/>
    </row>
    <row r="348" spans="4:36" x14ac:dyDescent="0.25">
      <c r="D348" s="120"/>
      <c r="H348" s="120"/>
      <c r="L348" s="120"/>
      <c r="P348" s="120"/>
      <c r="T348" s="120"/>
      <c r="X348" s="120"/>
      <c r="AB348" s="120"/>
      <c r="AF348" s="120"/>
      <c r="AJ348" s="403"/>
    </row>
    <row r="349" spans="4:36" x14ac:dyDescent="0.25">
      <c r="D349" s="120"/>
      <c r="H349" s="120"/>
      <c r="L349" s="120"/>
      <c r="P349" s="120"/>
      <c r="T349" s="120"/>
      <c r="X349" s="120"/>
      <c r="AB349" s="120"/>
      <c r="AF349" s="120"/>
      <c r="AJ349" s="403"/>
    </row>
    <row r="350" spans="4:36" x14ac:dyDescent="0.25">
      <c r="D350" s="120"/>
      <c r="H350" s="120"/>
      <c r="L350" s="120"/>
      <c r="P350" s="120"/>
      <c r="T350" s="120"/>
      <c r="X350" s="120"/>
      <c r="AB350" s="120"/>
      <c r="AF350" s="120"/>
      <c r="AJ350" s="403"/>
    </row>
    <row r="351" spans="4:36" x14ac:dyDescent="0.25">
      <c r="D351" s="120"/>
      <c r="H351" s="120"/>
      <c r="L351" s="120"/>
      <c r="P351" s="120"/>
      <c r="T351" s="120"/>
      <c r="X351" s="120"/>
      <c r="AB351" s="120"/>
      <c r="AF351" s="120"/>
      <c r="AJ351" s="403"/>
    </row>
    <row r="352" spans="4:36" x14ac:dyDescent="0.25">
      <c r="D352" s="120"/>
      <c r="H352" s="120"/>
      <c r="L352" s="120"/>
      <c r="P352" s="120"/>
      <c r="T352" s="120"/>
      <c r="X352" s="120"/>
      <c r="AB352" s="120"/>
      <c r="AF352" s="120"/>
      <c r="AJ352" s="403"/>
    </row>
    <row r="353" spans="4:36" x14ac:dyDescent="0.25">
      <c r="D353" s="120"/>
      <c r="H353" s="120"/>
      <c r="L353" s="120"/>
      <c r="P353" s="120"/>
      <c r="T353" s="120"/>
      <c r="X353" s="120"/>
      <c r="AB353" s="120"/>
      <c r="AF353" s="120"/>
      <c r="AJ353" s="403"/>
    </row>
    <row r="354" spans="4:36" x14ac:dyDescent="0.25">
      <c r="D354" s="120"/>
      <c r="H354" s="120"/>
      <c r="L354" s="120"/>
      <c r="P354" s="120"/>
      <c r="T354" s="120"/>
      <c r="X354" s="120"/>
      <c r="AB354" s="120"/>
      <c r="AF354" s="120"/>
      <c r="AJ354" s="403"/>
    </row>
    <row r="355" spans="4:36" x14ac:dyDescent="0.25">
      <c r="D355" s="120"/>
      <c r="H355" s="120"/>
      <c r="L355" s="120"/>
      <c r="P355" s="120"/>
      <c r="T355" s="120"/>
      <c r="X355" s="120"/>
      <c r="AB355" s="120"/>
      <c r="AF355" s="120"/>
      <c r="AJ355" s="403"/>
    </row>
    <row r="356" spans="4:36" x14ac:dyDescent="0.25">
      <c r="D356" s="120"/>
      <c r="H356" s="120"/>
      <c r="L356" s="120"/>
      <c r="P356" s="120"/>
      <c r="T356" s="120"/>
      <c r="X356" s="120"/>
      <c r="AB356" s="120"/>
      <c r="AF356" s="120"/>
      <c r="AJ356" s="403"/>
    </row>
    <row r="357" spans="4:36" x14ac:dyDescent="0.25">
      <c r="D357" s="120"/>
      <c r="H357" s="120"/>
      <c r="L357" s="120"/>
      <c r="P357" s="120"/>
      <c r="T357" s="120"/>
      <c r="X357" s="120"/>
      <c r="AB357" s="120"/>
      <c r="AF357" s="120"/>
      <c r="AJ357" s="403"/>
    </row>
    <row r="358" spans="4:36" x14ac:dyDescent="0.25">
      <c r="D358" s="120"/>
      <c r="H358" s="120"/>
      <c r="L358" s="120"/>
      <c r="P358" s="120"/>
      <c r="T358" s="120"/>
      <c r="X358" s="120"/>
      <c r="AB358" s="120"/>
      <c r="AF358" s="120"/>
      <c r="AJ358" s="403"/>
    </row>
    <row r="359" spans="4:36" x14ac:dyDescent="0.25">
      <c r="D359" s="120"/>
      <c r="H359" s="120"/>
      <c r="L359" s="120"/>
      <c r="P359" s="120"/>
      <c r="T359" s="120"/>
      <c r="X359" s="120"/>
      <c r="AB359" s="120"/>
      <c r="AF359" s="120"/>
      <c r="AJ359" s="403"/>
    </row>
    <row r="360" spans="4:36" x14ac:dyDescent="0.25">
      <c r="D360" s="120"/>
      <c r="H360" s="120"/>
      <c r="L360" s="120"/>
      <c r="P360" s="120"/>
      <c r="T360" s="120"/>
      <c r="X360" s="120"/>
      <c r="AB360" s="120"/>
      <c r="AF360" s="120"/>
      <c r="AJ360" s="403"/>
    </row>
    <row r="361" spans="4:36" x14ac:dyDescent="0.25">
      <c r="D361" s="120"/>
      <c r="H361" s="120"/>
      <c r="L361" s="120"/>
      <c r="P361" s="120"/>
      <c r="T361" s="120"/>
      <c r="X361" s="120"/>
      <c r="AB361" s="120"/>
      <c r="AF361" s="120"/>
      <c r="AJ361" s="403"/>
    </row>
    <row r="362" spans="4:36" x14ac:dyDescent="0.25">
      <c r="D362" s="120"/>
      <c r="H362" s="120"/>
      <c r="L362" s="120"/>
      <c r="P362" s="120"/>
      <c r="T362" s="120"/>
      <c r="X362" s="120"/>
      <c r="AB362" s="120"/>
      <c r="AF362" s="120"/>
      <c r="AJ362" s="403"/>
    </row>
    <row r="363" spans="4:36" x14ac:dyDescent="0.25">
      <c r="D363" s="120"/>
      <c r="H363" s="120"/>
      <c r="L363" s="120"/>
      <c r="P363" s="120"/>
      <c r="T363" s="120"/>
      <c r="X363" s="120"/>
      <c r="AB363" s="120"/>
      <c r="AF363" s="120"/>
      <c r="AJ363" s="403"/>
    </row>
    <row r="364" spans="4:36" x14ac:dyDescent="0.25">
      <c r="D364" s="120"/>
      <c r="H364" s="120"/>
      <c r="L364" s="120"/>
      <c r="P364" s="120"/>
      <c r="T364" s="120"/>
      <c r="X364" s="120"/>
      <c r="AB364" s="120"/>
      <c r="AF364" s="120"/>
      <c r="AJ364" s="403"/>
    </row>
    <row r="365" spans="4:36" x14ac:dyDescent="0.25">
      <c r="D365" s="120"/>
      <c r="H365" s="120"/>
      <c r="L365" s="120"/>
      <c r="P365" s="120"/>
      <c r="T365" s="120"/>
      <c r="X365" s="120"/>
      <c r="AB365" s="120"/>
      <c r="AF365" s="120"/>
      <c r="AJ365" s="403"/>
    </row>
    <row r="366" spans="4:36" x14ac:dyDescent="0.25">
      <c r="D366" s="120"/>
      <c r="H366" s="120"/>
      <c r="L366" s="120"/>
      <c r="P366" s="120"/>
      <c r="T366" s="120"/>
      <c r="X366" s="120"/>
      <c r="AB366" s="120"/>
      <c r="AF366" s="120"/>
      <c r="AJ366" s="403"/>
    </row>
    <row r="367" spans="4:36" x14ac:dyDescent="0.25">
      <c r="D367" s="120"/>
      <c r="H367" s="120"/>
      <c r="L367" s="120"/>
      <c r="P367" s="120"/>
      <c r="T367" s="120"/>
      <c r="X367" s="120"/>
      <c r="AB367" s="120"/>
      <c r="AF367" s="120"/>
      <c r="AJ367" s="403"/>
    </row>
    <row r="368" spans="4:36" x14ac:dyDescent="0.25">
      <c r="D368" s="120"/>
      <c r="H368" s="120"/>
      <c r="L368" s="120"/>
      <c r="P368" s="120"/>
      <c r="T368" s="120"/>
      <c r="X368" s="120"/>
      <c r="AB368" s="120"/>
      <c r="AF368" s="120"/>
      <c r="AJ368" s="403"/>
    </row>
    <row r="369" spans="4:36" x14ac:dyDescent="0.25">
      <c r="D369" s="120"/>
      <c r="H369" s="120"/>
      <c r="L369" s="120"/>
      <c r="P369" s="120"/>
      <c r="T369" s="120"/>
      <c r="X369" s="120"/>
      <c r="AB369" s="120"/>
      <c r="AF369" s="120"/>
      <c r="AJ369" s="403"/>
    </row>
    <row r="370" spans="4:36" x14ac:dyDescent="0.25">
      <c r="D370" s="120"/>
      <c r="H370" s="120"/>
      <c r="L370" s="120"/>
      <c r="P370" s="120"/>
      <c r="T370" s="120"/>
      <c r="X370" s="120"/>
      <c r="AB370" s="120"/>
      <c r="AF370" s="120"/>
      <c r="AJ370" s="403"/>
    </row>
    <row r="371" spans="4:36" x14ac:dyDescent="0.25">
      <c r="D371" s="120"/>
      <c r="H371" s="120"/>
      <c r="L371" s="120"/>
      <c r="P371" s="120"/>
      <c r="T371" s="120"/>
      <c r="X371" s="120"/>
      <c r="AB371" s="120"/>
      <c r="AF371" s="120"/>
      <c r="AJ371" s="403"/>
    </row>
  </sheetData>
  <mergeCells count="10">
    <mergeCell ref="D3:F3"/>
    <mergeCell ref="T3:V3"/>
    <mergeCell ref="X3:Z3"/>
    <mergeCell ref="AB3:AD3"/>
    <mergeCell ref="AN3:AQ3"/>
    <mergeCell ref="AF3:AH3"/>
    <mergeCell ref="P3:R3"/>
    <mergeCell ref="H3:J3"/>
    <mergeCell ref="L3:N3"/>
    <mergeCell ref="AJ3:AL3"/>
  </mergeCells>
  <pageMargins left="0.75" right="0.75" top="1" bottom="1" header="0.5" footer="0.5"/>
  <pageSetup paperSize="5" scale="84" orientation="landscape" r:id="rId1"/>
  <headerFooter alignWithMargins="0">
    <oddHeader>&amp;C&amp;"-,Bold"Proposed Budget &amp; Analysis Report for FY20</oddHeader>
    <oddFooter>&amp;C&amp;D&amp;T&amp;R&amp;A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R382"/>
  <sheetViews>
    <sheetView zoomScaleNormal="100" zoomScaleSheetLayoutView="100" workbookViewId="0"/>
  </sheetViews>
  <sheetFormatPr defaultRowHeight="13.5" x14ac:dyDescent="0.25"/>
  <cols>
    <col min="1" max="1" width="21.140625" style="161" customWidth="1"/>
    <col min="2" max="2" width="5" style="161" customWidth="1"/>
    <col min="3" max="3" width="34.5703125" style="161" customWidth="1"/>
    <col min="4" max="4" width="13.28515625" style="211" hidden="1" customWidth="1"/>
    <col min="5" max="5" width="11.42578125" style="211" hidden="1" customWidth="1"/>
    <col min="6" max="6" width="9.28515625" style="211" hidden="1" customWidth="1"/>
    <col min="7" max="7" width="2" style="213" hidden="1" customWidth="1"/>
    <col min="8" max="8" width="13.28515625" style="211" hidden="1" customWidth="1"/>
    <col min="9" max="9" width="11.42578125" style="211" hidden="1" customWidth="1"/>
    <col min="10" max="10" width="9.28515625" style="211" hidden="1" customWidth="1"/>
    <col min="11" max="11" width="2" style="213" hidden="1" customWidth="1"/>
    <col min="12" max="12" width="13.28515625" style="211" hidden="1" customWidth="1"/>
    <col min="13" max="13" width="11.42578125" style="211" hidden="1" customWidth="1"/>
    <col min="14" max="14" width="9.28515625" style="211" hidden="1" customWidth="1"/>
    <col min="15" max="15" width="2" style="213" hidden="1" customWidth="1"/>
    <col min="16" max="16" width="13.28515625" style="211" hidden="1" customWidth="1"/>
    <col min="17" max="17" width="11.42578125" style="211" hidden="1" customWidth="1"/>
    <col min="18" max="18" width="9.28515625" style="211" hidden="1" customWidth="1"/>
    <col min="19" max="19" width="2" style="213" hidden="1" customWidth="1"/>
    <col min="20" max="20" width="13.28515625" style="161" hidden="1" customWidth="1"/>
    <col min="21" max="21" width="11.42578125" style="161" hidden="1" customWidth="1"/>
    <col min="22" max="22" width="9.28515625" style="161" hidden="1" customWidth="1"/>
    <col min="23" max="23" width="2" style="103" hidden="1" customWidth="1"/>
    <col min="24" max="25" width="13.28515625" style="161" hidden="1" customWidth="1"/>
    <col min="26" max="26" width="9.28515625" style="161" hidden="1" customWidth="1"/>
    <col min="27" max="27" width="2" style="103" hidden="1" customWidth="1"/>
    <col min="28" max="29" width="13.28515625" style="161" bestFit="1" customWidth="1"/>
    <col min="30" max="30" width="9.28515625" style="161" bestFit="1" customWidth="1"/>
    <col min="31" max="31" width="2" style="213" customWidth="1"/>
    <col min="32" max="32" width="13.28515625" style="211" hidden="1" customWidth="1"/>
    <col min="33" max="34" width="13.28515625" style="211" bestFit="1" customWidth="1"/>
    <col min="35" max="35" width="9.28515625" style="211" bestFit="1" customWidth="1"/>
    <col min="36" max="36" width="1.85546875" style="161" customWidth="1"/>
    <col min="37" max="38" width="13.28515625" style="394" bestFit="1" customWidth="1"/>
    <col min="39" max="39" width="9.28515625" style="394" bestFit="1" customWidth="1"/>
    <col min="40" max="40" width="2" style="397" customWidth="1"/>
    <col min="41" max="41" width="13.28515625" style="104" bestFit="1" customWidth="1"/>
    <col min="42" max="42" width="14" style="104" bestFit="1" customWidth="1"/>
    <col min="43" max="43" width="9.5703125" style="161" bestFit="1" customWidth="1"/>
    <col min="44" max="44" width="34.5703125" style="161" bestFit="1" customWidth="1"/>
    <col min="45" max="16384" width="9.140625" style="161"/>
  </cols>
  <sheetData>
    <row r="1" spans="1:44" s="211" customFormat="1" x14ac:dyDescent="0.25">
      <c r="B1" s="214"/>
      <c r="D1" s="112"/>
      <c r="E1" s="112"/>
      <c r="F1" s="216"/>
      <c r="G1" s="213"/>
      <c r="H1" s="112"/>
      <c r="I1" s="112"/>
      <c r="J1" s="216"/>
      <c r="K1" s="213"/>
      <c r="L1" s="112"/>
      <c r="M1" s="112"/>
      <c r="N1" s="216"/>
      <c r="O1" s="213"/>
      <c r="P1" s="112"/>
      <c r="Q1" s="112"/>
      <c r="R1" s="216"/>
      <c r="S1" s="213"/>
      <c r="T1" s="112"/>
      <c r="U1" s="112"/>
      <c r="V1" s="216"/>
      <c r="W1" s="213"/>
      <c r="X1" s="112"/>
      <c r="Y1" s="112"/>
      <c r="Z1" s="216"/>
      <c r="AA1" s="213"/>
      <c r="AB1" s="112"/>
      <c r="AC1" s="112"/>
      <c r="AD1" s="216"/>
      <c r="AE1" s="213"/>
      <c r="AF1" s="112"/>
      <c r="AG1" s="112"/>
      <c r="AH1" s="112"/>
      <c r="AI1" s="216"/>
      <c r="AJ1" s="216"/>
      <c r="AK1" s="112"/>
      <c r="AL1" s="112"/>
      <c r="AM1" s="396"/>
      <c r="AN1" s="397"/>
      <c r="AO1" s="112"/>
      <c r="AP1" s="112"/>
      <c r="AQ1" s="396"/>
      <c r="AR1" s="289"/>
    </row>
    <row r="3" spans="1:44" s="111" customFormat="1" ht="18" customHeight="1" x14ac:dyDescent="0.25">
      <c r="B3" s="782"/>
      <c r="C3" s="685" t="s">
        <v>2154</v>
      </c>
      <c r="D3" s="807" t="s">
        <v>1366</v>
      </c>
      <c r="E3" s="808"/>
      <c r="F3" s="809"/>
      <c r="G3" s="118"/>
      <c r="H3" s="807" t="s">
        <v>1365</v>
      </c>
      <c r="I3" s="808"/>
      <c r="J3" s="809"/>
      <c r="K3" s="118"/>
      <c r="L3" s="807" t="s">
        <v>1364</v>
      </c>
      <c r="M3" s="808"/>
      <c r="N3" s="809"/>
      <c r="O3" s="118"/>
      <c r="P3" s="807" t="s">
        <v>110</v>
      </c>
      <c r="Q3" s="808"/>
      <c r="R3" s="809"/>
      <c r="S3" s="118"/>
      <c r="T3" s="807" t="s">
        <v>271</v>
      </c>
      <c r="U3" s="808"/>
      <c r="V3" s="809"/>
      <c r="W3" s="118"/>
      <c r="X3" s="807" t="s">
        <v>980</v>
      </c>
      <c r="Y3" s="808"/>
      <c r="Z3" s="809"/>
      <c r="AA3" s="118"/>
      <c r="AB3" s="807" t="s">
        <v>1124</v>
      </c>
      <c r="AC3" s="808"/>
      <c r="AD3" s="809"/>
      <c r="AE3" s="118"/>
      <c r="AF3" s="807" t="s">
        <v>1363</v>
      </c>
      <c r="AG3" s="808"/>
      <c r="AH3" s="808"/>
      <c r="AI3" s="809"/>
      <c r="AJ3" s="201"/>
      <c r="AK3" s="807" t="s">
        <v>1592</v>
      </c>
      <c r="AL3" s="808"/>
      <c r="AM3" s="809"/>
      <c r="AN3" s="118"/>
      <c r="AO3" s="805" t="s">
        <v>1593</v>
      </c>
      <c r="AP3" s="805"/>
      <c r="AQ3" s="805"/>
      <c r="AR3" s="805"/>
    </row>
    <row r="4" spans="1:44" ht="27" customHeight="1" x14ac:dyDescent="0.25">
      <c r="B4" s="685"/>
      <c r="C4" s="685" t="s">
        <v>2153</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O4" s="107" t="s">
        <v>274</v>
      </c>
      <c r="AP4" s="108" t="s">
        <v>107</v>
      </c>
      <c r="AQ4" s="109" t="s">
        <v>845</v>
      </c>
      <c r="AR4" s="110" t="s">
        <v>275</v>
      </c>
    </row>
    <row r="5" spans="1:44" x14ac:dyDescent="0.25">
      <c r="A5" s="111" t="s">
        <v>272</v>
      </c>
      <c r="C5" s="111" t="s">
        <v>276</v>
      </c>
      <c r="AO5" s="103"/>
      <c r="AP5" s="103"/>
      <c r="AR5" s="111"/>
    </row>
    <row r="6" spans="1:44" x14ac:dyDescent="0.25">
      <c r="D6" s="112"/>
      <c r="E6" s="112"/>
      <c r="F6" s="216"/>
      <c r="H6" s="112"/>
      <c r="I6" s="112"/>
      <c r="J6" s="216"/>
      <c r="L6" s="112"/>
      <c r="M6" s="112"/>
      <c r="N6" s="216"/>
      <c r="P6" s="112"/>
      <c r="Q6" s="112"/>
      <c r="R6" s="216"/>
      <c r="T6" s="112"/>
      <c r="U6" s="112"/>
      <c r="V6" s="80"/>
      <c r="X6" s="112"/>
      <c r="Y6" s="112"/>
      <c r="Z6" s="80"/>
      <c r="AB6" s="112"/>
      <c r="AC6" s="112"/>
      <c r="AD6" s="80"/>
      <c r="AF6" s="218"/>
      <c r="AG6" s="218"/>
      <c r="AH6" s="112"/>
      <c r="AI6" s="216"/>
      <c r="AJ6" s="80"/>
      <c r="AK6" s="112"/>
      <c r="AL6" s="112"/>
      <c r="AM6" s="396"/>
      <c r="AO6" s="138"/>
      <c r="AP6" s="138"/>
      <c r="AQ6" s="80"/>
      <c r="AR6" s="211"/>
    </row>
    <row r="7" spans="1:44" s="114" customFormat="1" x14ac:dyDescent="0.25">
      <c r="A7" s="224"/>
      <c r="B7" s="224"/>
      <c r="C7" s="224" t="s">
        <v>26</v>
      </c>
      <c r="D7" s="225">
        <f>SUM(D6:D6)</f>
        <v>0</v>
      </c>
      <c r="E7" s="225">
        <f>SUM(E6:E6)</f>
        <v>0</v>
      </c>
      <c r="F7" s="226">
        <v>0</v>
      </c>
      <c r="G7" s="224"/>
      <c r="H7" s="225">
        <f>SUM(H6:H6)</f>
        <v>0</v>
      </c>
      <c r="I7" s="225">
        <f>SUM(I6:I6)</f>
        <v>0</v>
      </c>
      <c r="J7" s="226">
        <v>0</v>
      </c>
      <c r="K7" s="224"/>
      <c r="L7" s="225">
        <f>SUM(L6:L6)</f>
        <v>0</v>
      </c>
      <c r="M7" s="225">
        <f>SUM(M6:M6)</f>
        <v>0</v>
      </c>
      <c r="N7" s="226">
        <v>0</v>
      </c>
      <c r="O7" s="224"/>
      <c r="P7" s="225">
        <f>SUM(P6:P6)</f>
        <v>0</v>
      </c>
      <c r="Q7" s="225">
        <f>SUM(Q6:Q6)</f>
        <v>0</v>
      </c>
      <c r="R7" s="226">
        <v>0</v>
      </c>
      <c r="S7" s="224"/>
      <c r="T7" s="225">
        <f>SUM(T6:T6)</f>
        <v>0</v>
      </c>
      <c r="U7" s="225">
        <f>SUM(U6:U6)</f>
        <v>0</v>
      </c>
      <c r="V7" s="226">
        <v>0</v>
      </c>
      <c r="W7" s="224"/>
      <c r="X7" s="225">
        <f>SUM(X6:X6)</f>
        <v>0</v>
      </c>
      <c r="Y7" s="225">
        <f>SUM(Y6:Y6)</f>
        <v>0</v>
      </c>
      <c r="Z7" s="226"/>
      <c r="AA7" s="224"/>
      <c r="AB7" s="225">
        <f>SUM(AB6:AB6)</f>
        <v>0</v>
      </c>
      <c r="AC7" s="225">
        <f>SUM(AC6:AC6)</f>
        <v>0</v>
      </c>
      <c r="AD7" s="226"/>
      <c r="AE7" s="224"/>
      <c r="AF7" s="227">
        <f>SUM(AF6)</f>
        <v>0</v>
      </c>
      <c r="AG7" s="227">
        <f>SUM(AG6)</f>
        <v>0</v>
      </c>
      <c r="AH7" s="225">
        <f>SUM(AH6:AH6)</f>
        <v>0</v>
      </c>
      <c r="AI7" s="226"/>
      <c r="AJ7" s="226"/>
      <c r="AK7" s="225">
        <f>SUM(AK6:AK6)</f>
        <v>0</v>
      </c>
      <c r="AL7" s="225">
        <f>SUM(AL6:AL6)</f>
        <v>0</v>
      </c>
      <c r="AM7" s="226"/>
      <c r="AN7" s="224"/>
      <c r="AO7" s="227">
        <f>SUM(AO6)</f>
        <v>0</v>
      </c>
      <c r="AP7" s="225">
        <f>AO7-X7</f>
        <v>0</v>
      </c>
      <c r="AQ7" s="226"/>
      <c r="AR7" s="224"/>
    </row>
    <row r="8" spans="1:44" x14ac:dyDescent="0.25">
      <c r="D8" s="112"/>
      <c r="E8" s="112"/>
      <c r="F8" s="216"/>
      <c r="H8" s="112"/>
      <c r="I8" s="112"/>
      <c r="J8" s="216"/>
      <c r="L8" s="112"/>
      <c r="M8" s="112"/>
      <c r="N8" s="216"/>
      <c r="P8" s="112"/>
      <c r="Q8" s="112"/>
      <c r="R8" s="216"/>
      <c r="T8" s="112"/>
      <c r="U8" s="112"/>
      <c r="V8" s="80"/>
      <c r="X8" s="112"/>
      <c r="Y8" s="112"/>
      <c r="Z8" s="80"/>
      <c r="AB8" s="112"/>
      <c r="AC8" s="112"/>
      <c r="AD8" s="80"/>
      <c r="AF8" s="212"/>
      <c r="AG8" s="212"/>
      <c r="AH8" s="112"/>
      <c r="AI8" s="216"/>
      <c r="AJ8" s="80"/>
      <c r="AK8" s="112"/>
      <c r="AL8" s="112"/>
      <c r="AM8" s="396"/>
      <c r="AQ8" s="80"/>
    </row>
    <row r="9" spans="1:44" x14ac:dyDescent="0.25">
      <c r="C9" s="111" t="s">
        <v>277</v>
      </c>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Q9" s="80"/>
      <c r="AR9" s="111"/>
    </row>
    <row r="10" spans="1:44" s="211" customFormat="1" x14ac:dyDescent="0.25">
      <c r="A10" s="211" t="s">
        <v>846</v>
      </c>
      <c r="B10" s="214" t="str">
        <f>MID(A10,14,4)</f>
        <v>5170</v>
      </c>
      <c r="C10" s="211" t="s">
        <v>313</v>
      </c>
      <c r="D10" s="112">
        <v>27000</v>
      </c>
      <c r="E10" s="112">
        <v>28250.41</v>
      </c>
      <c r="F10" s="216"/>
      <c r="G10" s="213"/>
      <c r="H10" s="112">
        <v>28350</v>
      </c>
      <c r="I10" s="112">
        <v>24553.74</v>
      </c>
      <c r="J10" s="216"/>
      <c r="K10" s="213"/>
      <c r="L10" s="112">
        <v>28817.51</v>
      </c>
      <c r="M10" s="112">
        <v>24841.32</v>
      </c>
      <c r="N10" s="216"/>
      <c r="O10" s="213"/>
      <c r="P10" s="112">
        <v>36881.69</v>
      </c>
      <c r="Q10" s="112">
        <v>26577.18</v>
      </c>
      <c r="R10" s="216"/>
      <c r="S10" s="213"/>
      <c r="T10" s="112">
        <v>30654.95</v>
      </c>
      <c r="U10" s="112">
        <v>27581.200000000001</v>
      </c>
      <c r="V10" s="216"/>
      <c r="W10" s="213"/>
      <c r="X10" s="112">
        <v>31790.49</v>
      </c>
      <c r="Y10" s="112">
        <v>30332.39</v>
      </c>
      <c r="Z10" s="216">
        <v>3.7042630961720731E-2</v>
      </c>
      <c r="AA10" s="213"/>
      <c r="AB10" s="112">
        <v>33209.07</v>
      </c>
      <c r="AC10" s="112">
        <v>30375.82</v>
      </c>
      <c r="AD10" s="216">
        <f t="shared" ref="AD10:AD19" si="0">(AB10-X10)/X10</f>
        <v>4.4622778698912728E-2</v>
      </c>
      <c r="AE10" s="213"/>
      <c r="AF10" s="112">
        <v>35607.43</v>
      </c>
      <c r="AG10" s="112">
        <v>35607.43</v>
      </c>
      <c r="AH10" s="112">
        <v>32513.65</v>
      </c>
      <c r="AI10" s="216">
        <f t="shared" ref="AI10:AI19" si="1">(AG10-AB10)/AB10</f>
        <v>7.222002904628165E-2</v>
      </c>
      <c r="AJ10" s="216"/>
      <c r="AK10" s="112">
        <v>38269.620000000003</v>
      </c>
      <c r="AL10" s="112">
        <v>18055.439999999999</v>
      </c>
      <c r="AM10" s="396">
        <f t="shared" ref="AM10:AM19" si="2">(AK10-AG10)/AG10</f>
        <v>7.4765013931081301E-2</v>
      </c>
      <c r="AN10" s="397"/>
      <c r="AO10" s="392">
        <f>'FY20 Payroll Schedule'!M149</f>
        <v>41077.189654719994</v>
      </c>
      <c r="AP10" s="398">
        <f t="shared" ref="AP10:AP20" si="3">AO10-AK10</f>
        <v>2807.5696547199914</v>
      </c>
      <c r="AQ10" s="158">
        <f t="shared" ref="AQ10:AQ20" si="4">AP10/AK10</f>
        <v>7.336288300537061E-2</v>
      </c>
      <c r="AR10" s="289" t="s">
        <v>906</v>
      </c>
    </row>
    <row r="11" spans="1:44" x14ac:dyDescent="0.25">
      <c r="A11" s="161" t="s">
        <v>847</v>
      </c>
      <c r="B11" s="395" t="str">
        <f t="shared" ref="B11:B23" si="5">MID(A11,14,4)</f>
        <v>5171</v>
      </c>
      <c r="C11" s="211" t="s">
        <v>1812</v>
      </c>
      <c r="D11" s="112">
        <v>18000</v>
      </c>
      <c r="E11" s="112">
        <v>8577.9500000000007</v>
      </c>
      <c r="F11" s="216"/>
      <c r="H11" s="112">
        <v>10949</v>
      </c>
      <c r="I11" s="112">
        <v>9603.34</v>
      </c>
      <c r="J11" s="216"/>
      <c r="L11" s="112">
        <v>0</v>
      </c>
      <c r="M11" s="112">
        <v>9288.15</v>
      </c>
      <c r="N11" s="216"/>
      <c r="P11" s="112">
        <v>9000</v>
      </c>
      <c r="Q11" s="112">
        <v>11231.69</v>
      </c>
      <c r="R11" s="216"/>
      <c r="T11" s="112">
        <v>20000</v>
      </c>
      <c r="U11" s="112">
        <v>9941.5300000000007</v>
      </c>
      <c r="V11" s="216"/>
      <c r="W11" s="213"/>
      <c r="X11" s="112">
        <v>23000</v>
      </c>
      <c r="Y11" s="112">
        <v>9105.6200000000008</v>
      </c>
      <c r="Z11" s="216">
        <v>0.15</v>
      </c>
      <c r="AA11" s="213"/>
      <c r="AB11" s="112">
        <v>14000</v>
      </c>
      <c r="AC11" s="112">
        <v>12481.97</v>
      </c>
      <c r="AD11" s="216">
        <f t="shared" si="0"/>
        <v>-0.39130434782608697</v>
      </c>
      <c r="AF11" s="112">
        <v>10000</v>
      </c>
      <c r="AG11" s="112">
        <v>10000</v>
      </c>
      <c r="AH11" s="112">
        <v>11916.8</v>
      </c>
      <c r="AI11" s="216">
        <f t="shared" si="1"/>
        <v>-0.2857142857142857</v>
      </c>
      <c r="AJ11" s="80"/>
      <c r="AK11" s="112">
        <v>12300</v>
      </c>
      <c r="AL11" s="112">
        <v>37671</v>
      </c>
      <c r="AM11" s="396">
        <f t="shared" si="2"/>
        <v>0.23</v>
      </c>
      <c r="AO11" s="392">
        <v>12300</v>
      </c>
      <c r="AP11" s="398">
        <f t="shared" si="3"/>
        <v>0</v>
      </c>
      <c r="AQ11" s="158">
        <f t="shared" si="4"/>
        <v>0</v>
      </c>
      <c r="AR11" s="289" t="s">
        <v>1240</v>
      </c>
    </row>
    <row r="12" spans="1:44" s="211" customFormat="1" x14ac:dyDescent="0.25">
      <c r="A12" s="211" t="s">
        <v>848</v>
      </c>
      <c r="B12" s="395" t="str">
        <f t="shared" si="5"/>
        <v>5172</v>
      </c>
      <c r="C12" s="211" t="s">
        <v>315</v>
      </c>
      <c r="D12" s="112">
        <v>11000</v>
      </c>
      <c r="E12" s="112">
        <v>19637.87</v>
      </c>
      <c r="F12" s="216"/>
      <c r="G12" s="213"/>
      <c r="H12" s="112">
        <v>11000</v>
      </c>
      <c r="I12" s="112">
        <v>15050.21</v>
      </c>
      <c r="J12" s="216"/>
      <c r="K12" s="213"/>
      <c r="L12" s="112">
        <v>17886.73</v>
      </c>
      <c r="M12" s="112">
        <v>16345.14</v>
      </c>
      <c r="N12" s="216"/>
      <c r="O12" s="213"/>
      <c r="P12" s="112">
        <v>20886.73</v>
      </c>
      <c r="Q12" s="112">
        <v>16457.37</v>
      </c>
      <c r="R12" s="216"/>
      <c r="S12" s="213"/>
      <c r="T12" s="112">
        <v>10570.67</v>
      </c>
      <c r="U12" s="112">
        <v>9707.48</v>
      </c>
      <c r="V12" s="216"/>
      <c r="W12" s="213"/>
      <c r="X12" s="112">
        <v>10962.24</v>
      </c>
      <c r="Y12" s="112">
        <v>6806.79</v>
      </c>
      <c r="Z12" s="216">
        <v>3.7043063495502147E-2</v>
      </c>
      <c r="AA12" s="213"/>
      <c r="AB12" s="112">
        <v>5000</v>
      </c>
      <c r="AC12" s="112">
        <v>3561.55</v>
      </c>
      <c r="AD12" s="216">
        <f t="shared" si="0"/>
        <v>-0.54388884023703188</v>
      </c>
      <c r="AE12" s="213"/>
      <c r="AF12" s="112">
        <v>3000</v>
      </c>
      <c r="AG12" s="112">
        <v>3000</v>
      </c>
      <c r="AH12" s="112">
        <v>5324.81</v>
      </c>
      <c r="AI12" s="216">
        <f t="shared" si="1"/>
        <v>-0.4</v>
      </c>
      <c r="AJ12" s="216"/>
      <c r="AK12" s="112">
        <v>7917.85</v>
      </c>
      <c r="AL12" s="112">
        <v>4123.97</v>
      </c>
      <c r="AM12" s="396">
        <f t="shared" si="2"/>
        <v>1.6392833333333334</v>
      </c>
      <c r="AN12" s="397"/>
      <c r="AO12" s="392">
        <f>'FY20 Payroll Schedule'!L148</f>
        <v>2525.6992500000006</v>
      </c>
      <c r="AP12" s="398">
        <f t="shared" si="3"/>
        <v>-5392.1507499999998</v>
      </c>
      <c r="AQ12" s="158">
        <f t="shared" si="4"/>
        <v>-0.68101198557689269</v>
      </c>
      <c r="AR12" s="289" t="s">
        <v>2008</v>
      </c>
    </row>
    <row r="13" spans="1:44" s="211" customFormat="1" x14ac:dyDescent="0.25">
      <c r="A13" s="211" t="s">
        <v>849</v>
      </c>
      <c r="B13" s="395" t="str">
        <f t="shared" si="5"/>
        <v>5173</v>
      </c>
      <c r="C13" s="211" t="s">
        <v>1813</v>
      </c>
      <c r="D13" s="112">
        <v>495180.01</v>
      </c>
      <c r="E13" s="112">
        <v>472650</v>
      </c>
      <c r="F13" s="216"/>
      <c r="G13" s="213"/>
      <c r="H13" s="112">
        <v>513021</v>
      </c>
      <c r="I13" s="112">
        <v>510239.8</v>
      </c>
      <c r="J13" s="216"/>
      <c r="K13" s="213"/>
      <c r="L13" s="112">
        <v>485523</v>
      </c>
      <c r="M13" s="112">
        <v>477249.97</v>
      </c>
      <c r="N13" s="216"/>
      <c r="O13" s="213"/>
      <c r="P13" s="112">
        <v>517374</v>
      </c>
      <c r="Q13" s="112">
        <v>514885.5</v>
      </c>
      <c r="R13" s="216"/>
      <c r="S13" s="213"/>
      <c r="T13" s="112">
        <v>415962</v>
      </c>
      <c r="U13" s="112">
        <v>399980.25</v>
      </c>
      <c r="V13" s="216"/>
      <c r="W13" s="213"/>
      <c r="X13" s="112">
        <v>460737</v>
      </c>
      <c r="Y13" s="112">
        <v>436969.5</v>
      </c>
      <c r="Z13" s="216">
        <v>0.10764204422519365</v>
      </c>
      <c r="AA13" s="213"/>
      <c r="AB13" s="112">
        <v>345000</v>
      </c>
      <c r="AC13" s="112">
        <v>303765.75</v>
      </c>
      <c r="AD13" s="216">
        <f t="shared" si="0"/>
        <v>-0.25119970829345156</v>
      </c>
      <c r="AE13" s="213"/>
      <c r="AF13" s="112">
        <v>363303</v>
      </c>
      <c r="AG13" s="112">
        <v>363303</v>
      </c>
      <c r="AH13" s="112">
        <v>340977.75</v>
      </c>
      <c r="AI13" s="216">
        <f t="shared" si="1"/>
        <v>5.3052173913043475E-2</v>
      </c>
      <c r="AJ13" s="216"/>
      <c r="AK13" s="112">
        <v>384642</v>
      </c>
      <c r="AL13" s="112">
        <v>178501.5</v>
      </c>
      <c r="AM13" s="396">
        <f t="shared" si="2"/>
        <v>5.8736096316297969E-2</v>
      </c>
      <c r="AN13" s="397"/>
      <c r="AO13" s="157">
        <f>'Health Ins'!M46</f>
        <v>384642</v>
      </c>
      <c r="AP13" s="398">
        <f t="shared" si="3"/>
        <v>0</v>
      </c>
      <c r="AQ13" s="158">
        <f t="shared" si="4"/>
        <v>0</v>
      </c>
      <c r="AR13" s="289" t="s">
        <v>1527</v>
      </c>
    </row>
    <row r="14" spans="1:44" s="397" customFormat="1" x14ac:dyDescent="0.25">
      <c r="A14" s="394" t="s">
        <v>1291</v>
      </c>
      <c r="B14" s="395" t="str">
        <f>MID(A14,14,4)</f>
        <v>5199</v>
      </c>
      <c r="C14" s="394" t="s">
        <v>2017</v>
      </c>
      <c r="D14" s="112">
        <v>0</v>
      </c>
      <c r="E14" s="112">
        <v>0</v>
      </c>
      <c r="F14" s="396"/>
      <c r="H14" s="112">
        <v>0</v>
      </c>
      <c r="I14" s="112">
        <v>0</v>
      </c>
      <c r="J14" s="396"/>
      <c r="L14" s="112">
        <v>0</v>
      </c>
      <c r="M14" s="112">
        <v>0</v>
      </c>
      <c r="N14" s="396"/>
      <c r="P14" s="112">
        <v>0</v>
      </c>
      <c r="Q14" s="112">
        <v>0</v>
      </c>
      <c r="R14" s="396"/>
      <c r="T14" s="112">
        <v>0</v>
      </c>
      <c r="U14" s="112">
        <v>0</v>
      </c>
      <c r="V14" s="396"/>
      <c r="X14" s="112">
        <v>0</v>
      </c>
      <c r="Y14" s="112">
        <v>0</v>
      </c>
      <c r="Z14" s="396" t="e">
        <v>#DIV/0!</v>
      </c>
      <c r="AB14" s="112">
        <v>150000</v>
      </c>
      <c r="AC14" s="112">
        <v>147069</v>
      </c>
      <c r="AD14" s="396" t="e">
        <f t="shared" si="0"/>
        <v>#DIV/0!</v>
      </c>
      <c r="AF14" s="112">
        <v>187893</v>
      </c>
      <c r="AG14" s="112">
        <v>187893</v>
      </c>
      <c r="AH14" s="112">
        <v>185951</v>
      </c>
      <c r="AI14" s="396">
        <f t="shared" si="1"/>
        <v>0.25262000000000001</v>
      </c>
      <c r="AJ14" s="396"/>
      <c r="AK14" s="112">
        <v>195003</v>
      </c>
      <c r="AL14" s="112">
        <v>99189.75</v>
      </c>
      <c r="AM14" s="396">
        <f t="shared" si="2"/>
        <v>3.7840685922306848E-2</v>
      </c>
      <c r="AO14" s="157">
        <f>'Health Ins'!M26</f>
        <v>189972</v>
      </c>
      <c r="AP14" s="398">
        <f t="shared" si="3"/>
        <v>-5031</v>
      </c>
      <c r="AQ14" s="158">
        <f t="shared" si="4"/>
        <v>-2.579960308302949E-2</v>
      </c>
      <c r="AR14" s="400"/>
    </row>
    <row r="15" spans="1:44" x14ac:dyDescent="0.25">
      <c r="A15" s="395" t="s">
        <v>2006</v>
      </c>
      <c r="B15" s="395" t="str">
        <f>MID(A15,14,4)</f>
        <v>5196</v>
      </c>
      <c r="C15" s="161" t="s">
        <v>1814</v>
      </c>
      <c r="D15" s="112">
        <v>0</v>
      </c>
      <c r="E15" s="112">
        <v>0</v>
      </c>
      <c r="F15" s="216"/>
      <c r="H15" s="112">
        <v>0</v>
      </c>
      <c r="I15" s="112">
        <v>0</v>
      </c>
      <c r="J15" s="216"/>
      <c r="L15" s="112">
        <v>0</v>
      </c>
      <c r="M15" s="112">
        <v>0</v>
      </c>
      <c r="N15" s="216"/>
      <c r="P15" s="112">
        <v>0</v>
      </c>
      <c r="Q15" s="112">
        <v>0</v>
      </c>
      <c r="R15" s="216"/>
      <c r="T15" s="112">
        <v>108721</v>
      </c>
      <c r="U15" s="112">
        <v>105096.6</v>
      </c>
      <c r="V15" s="216"/>
      <c r="W15" s="213"/>
      <c r="X15" s="112">
        <v>111641.76</v>
      </c>
      <c r="Y15" s="112">
        <v>110345.1</v>
      </c>
      <c r="Z15" s="216">
        <v>2.686472714562959E-2</v>
      </c>
      <c r="AA15" s="213"/>
      <c r="AB15" s="112">
        <v>120000</v>
      </c>
      <c r="AC15" s="112">
        <v>121518</v>
      </c>
      <c r="AD15" s="216">
        <f t="shared" si="0"/>
        <v>7.4866609053816466E-2</v>
      </c>
      <c r="AF15" s="112">
        <v>133563.6</v>
      </c>
      <c r="AG15" s="112">
        <v>133563.6</v>
      </c>
      <c r="AH15" s="112">
        <v>129354</v>
      </c>
      <c r="AI15" s="216">
        <f t="shared" si="1"/>
        <v>0.11303000000000005</v>
      </c>
      <c r="AJ15" s="80"/>
      <c r="AK15" s="112">
        <v>140217.29999999999</v>
      </c>
      <c r="AL15" s="112">
        <v>67707</v>
      </c>
      <c r="AM15" s="396">
        <f t="shared" si="2"/>
        <v>4.9816716530551607E-2</v>
      </c>
      <c r="AO15" s="157">
        <f>'Health Ins'!M78</f>
        <v>136476</v>
      </c>
      <c r="AP15" s="398">
        <f t="shared" si="3"/>
        <v>-3741.2999999999884</v>
      </c>
      <c r="AQ15" s="158">
        <f t="shared" si="4"/>
        <v>-2.6682156909311396E-2</v>
      </c>
      <c r="AR15" s="159"/>
    </row>
    <row r="16" spans="1:44" s="211" customFormat="1" x14ac:dyDescent="0.25">
      <c r="A16" s="211" t="s">
        <v>851</v>
      </c>
      <c r="B16" s="395" t="str">
        <f t="shared" si="5"/>
        <v>5174</v>
      </c>
      <c r="C16" s="211" t="s">
        <v>1817</v>
      </c>
      <c r="D16" s="112">
        <v>2200</v>
      </c>
      <c r="E16" s="112">
        <v>1446.94</v>
      </c>
      <c r="F16" s="216"/>
      <c r="G16" s="213"/>
      <c r="H16" s="112">
        <v>2200</v>
      </c>
      <c r="I16" s="112">
        <v>2118.42</v>
      </c>
      <c r="J16" s="216"/>
      <c r="K16" s="213"/>
      <c r="L16" s="112">
        <v>2200</v>
      </c>
      <c r="M16" s="112">
        <v>2324.96</v>
      </c>
      <c r="N16" s="216"/>
      <c r="O16" s="213"/>
      <c r="P16" s="112">
        <v>2200</v>
      </c>
      <c r="Q16" s="112">
        <v>1956.96</v>
      </c>
      <c r="R16" s="216"/>
      <c r="S16" s="213"/>
      <c r="T16" s="112">
        <v>2200</v>
      </c>
      <c r="U16" s="112">
        <v>1976.31</v>
      </c>
      <c r="V16" s="216"/>
      <c r="W16" s="213"/>
      <c r="X16" s="112">
        <v>2200</v>
      </c>
      <c r="Y16" s="112">
        <v>2034.36</v>
      </c>
      <c r="Z16" s="216">
        <v>0</v>
      </c>
      <c r="AA16" s="213"/>
      <c r="AB16" s="112">
        <v>2200</v>
      </c>
      <c r="AC16" s="112">
        <v>1988.91</v>
      </c>
      <c r="AD16" s="216">
        <f t="shared" si="0"/>
        <v>0</v>
      </c>
      <c r="AE16" s="213"/>
      <c r="AF16" s="112">
        <v>2200</v>
      </c>
      <c r="AG16" s="112">
        <v>2200</v>
      </c>
      <c r="AH16" s="112">
        <v>2034.36</v>
      </c>
      <c r="AI16" s="216">
        <f t="shared" si="1"/>
        <v>0</v>
      </c>
      <c r="AJ16" s="216"/>
      <c r="AK16" s="112">
        <v>2200</v>
      </c>
      <c r="AL16" s="112">
        <v>1449.11</v>
      </c>
      <c r="AM16" s="396">
        <f t="shared" si="2"/>
        <v>0</v>
      </c>
      <c r="AN16" s="397"/>
      <c r="AO16" s="157">
        <v>2200</v>
      </c>
      <c r="AP16" s="398">
        <f t="shared" si="3"/>
        <v>0</v>
      </c>
      <c r="AQ16" s="158">
        <f t="shared" si="4"/>
        <v>0</v>
      </c>
      <c r="AR16" s="289"/>
    </row>
    <row r="17" spans="1:44" s="211" customFormat="1" ht="14.25" x14ac:dyDescent="0.3">
      <c r="A17" s="211" t="s">
        <v>852</v>
      </c>
      <c r="B17" s="395" t="str">
        <f t="shared" si="5"/>
        <v>5175</v>
      </c>
      <c r="C17" s="211" t="s">
        <v>1818</v>
      </c>
      <c r="D17" s="112">
        <v>212862</v>
      </c>
      <c r="E17" s="112">
        <v>212862</v>
      </c>
      <c r="F17" s="216"/>
      <c r="G17" s="213"/>
      <c r="H17" s="112">
        <v>222900</v>
      </c>
      <c r="I17" s="112">
        <v>222900</v>
      </c>
      <c r="J17" s="216"/>
      <c r="K17" s="213"/>
      <c r="L17" s="112">
        <v>266768</v>
      </c>
      <c r="M17" s="112">
        <v>274694</v>
      </c>
      <c r="N17" s="216"/>
      <c r="O17" s="213"/>
      <c r="P17" s="112">
        <v>287530</v>
      </c>
      <c r="Q17" s="112">
        <v>287530</v>
      </c>
      <c r="R17" s="216"/>
      <c r="S17" s="213"/>
      <c r="T17" s="112">
        <v>300966</v>
      </c>
      <c r="U17" s="112">
        <v>300966</v>
      </c>
      <c r="V17" s="216"/>
      <c r="W17" s="213"/>
      <c r="X17" s="112">
        <v>333485</v>
      </c>
      <c r="Y17" s="112">
        <v>327377</v>
      </c>
      <c r="Z17" s="216">
        <v>0.10804874969265631</v>
      </c>
      <c r="AA17" s="213"/>
      <c r="AB17" s="112">
        <v>338403</v>
      </c>
      <c r="AC17" s="112">
        <v>278441.63</v>
      </c>
      <c r="AD17" s="216">
        <f t="shared" si="0"/>
        <v>1.4747289983057708E-2</v>
      </c>
      <c r="AE17" s="213"/>
      <c r="AF17" s="398">
        <v>342051</v>
      </c>
      <c r="AG17" s="398">
        <v>342051</v>
      </c>
      <c r="AH17" s="398">
        <v>283838.26</v>
      </c>
      <c r="AI17" s="216">
        <f t="shared" si="1"/>
        <v>1.0780046276185494E-2</v>
      </c>
      <c r="AJ17" s="216"/>
      <c r="AK17" s="112">
        <v>291949.46999999997</v>
      </c>
      <c r="AL17" s="112">
        <v>359153</v>
      </c>
      <c r="AM17" s="396">
        <f t="shared" si="2"/>
        <v>-0.14647385916135322</v>
      </c>
      <c r="AN17" s="397"/>
      <c r="AO17" s="157">
        <f>'County Retirement'!G33</f>
        <v>281517.86195620784</v>
      </c>
      <c r="AP17" s="398">
        <f t="shared" si="3"/>
        <v>-10431.608043792134</v>
      </c>
      <c r="AQ17" s="158">
        <f t="shared" si="4"/>
        <v>-3.5730868234808352E-2</v>
      </c>
      <c r="AR17" s="406" t="s">
        <v>2118</v>
      </c>
    </row>
    <row r="18" spans="1:44" x14ac:dyDescent="0.25">
      <c r="A18" s="395" t="s">
        <v>2005</v>
      </c>
      <c r="B18" s="395" t="str">
        <f t="shared" si="5"/>
        <v>5189</v>
      </c>
      <c r="C18" s="211" t="s">
        <v>1815</v>
      </c>
      <c r="D18" s="112">
        <v>0</v>
      </c>
      <c r="E18" s="112">
        <v>0</v>
      </c>
      <c r="F18" s="216"/>
      <c r="H18" s="112">
        <v>0</v>
      </c>
      <c r="I18" s="112">
        <v>0</v>
      </c>
      <c r="J18" s="216"/>
      <c r="L18" s="112">
        <v>26345.93</v>
      </c>
      <c r="M18" s="112">
        <v>17781</v>
      </c>
      <c r="N18" s="216"/>
      <c r="P18" s="112">
        <v>0</v>
      </c>
      <c r="Q18" s="112">
        <v>0</v>
      </c>
      <c r="R18" s="216"/>
      <c r="T18" s="112">
        <v>0</v>
      </c>
      <c r="U18" s="112">
        <v>0</v>
      </c>
      <c r="V18" s="216"/>
      <c r="W18" s="213"/>
      <c r="X18" s="112">
        <v>0</v>
      </c>
      <c r="Y18" s="112">
        <v>0</v>
      </c>
      <c r="Z18" s="216" t="e">
        <v>#DIV/0!</v>
      </c>
      <c r="AA18" s="213"/>
      <c r="AB18" s="112">
        <v>0</v>
      </c>
      <c r="AC18" s="112">
        <v>0</v>
      </c>
      <c r="AD18" s="216" t="e">
        <f t="shared" si="0"/>
        <v>#DIV/0!</v>
      </c>
      <c r="AF18" s="112"/>
      <c r="AG18" s="112"/>
      <c r="AH18" s="112"/>
      <c r="AI18" s="216" t="e">
        <f t="shared" si="1"/>
        <v>#DIV/0!</v>
      </c>
      <c r="AJ18" s="80"/>
      <c r="AK18" s="112">
        <v>0</v>
      </c>
      <c r="AL18" s="112"/>
      <c r="AM18" s="396" t="e">
        <f t="shared" si="2"/>
        <v>#DIV/0!</v>
      </c>
      <c r="AO18" s="157">
        <v>10000</v>
      </c>
      <c r="AP18" s="398">
        <f t="shared" si="3"/>
        <v>10000</v>
      </c>
      <c r="AQ18" s="158" t="e">
        <f t="shared" si="4"/>
        <v>#DIV/0!</v>
      </c>
      <c r="AR18" s="159" t="s">
        <v>850</v>
      </c>
    </row>
    <row r="19" spans="1:44" s="213" customFormat="1" x14ac:dyDescent="0.25">
      <c r="A19" s="395" t="s">
        <v>2007</v>
      </c>
      <c r="B19" s="395" t="str">
        <f t="shared" si="5"/>
        <v>5197</v>
      </c>
      <c r="C19" s="211" t="s">
        <v>1816</v>
      </c>
      <c r="D19" s="112">
        <v>0</v>
      </c>
      <c r="E19" s="112">
        <v>0</v>
      </c>
      <c r="F19" s="216"/>
      <c r="H19" s="112">
        <v>0</v>
      </c>
      <c r="I19" s="112">
        <v>0</v>
      </c>
      <c r="J19" s="216"/>
      <c r="L19" s="112">
        <v>0</v>
      </c>
      <c r="M19" s="112">
        <v>0</v>
      </c>
      <c r="N19" s="216"/>
      <c r="P19" s="112">
        <v>0</v>
      </c>
      <c r="Q19" s="112">
        <v>0</v>
      </c>
      <c r="R19" s="216"/>
      <c r="T19" s="112">
        <v>100000</v>
      </c>
      <c r="U19" s="112">
        <v>100000</v>
      </c>
      <c r="V19" s="216"/>
      <c r="X19" s="112">
        <v>150000</v>
      </c>
      <c r="Y19" s="112">
        <v>150000</v>
      </c>
      <c r="Z19" s="216">
        <v>0.5</v>
      </c>
      <c r="AB19" s="112">
        <v>150000</v>
      </c>
      <c r="AC19" s="112">
        <v>150000</v>
      </c>
      <c r="AD19" s="216">
        <f t="shared" si="0"/>
        <v>0</v>
      </c>
      <c r="AF19" s="112">
        <v>150000</v>
      </c>
      <c r="AG19" s="112">
        <v>150000</v>
      </c>
      <c r="AH19" s="112">
        <v>150000</v>
      </c>
      <c r="AI19" s="216">
        <f t="shared" si="1"/>
        <v>0</v>
      </c>
      <c r="AJ19" s="216"/>
      <c r="AK19" s="112">
        <v>113601</v>
      </c>
      <c r="AL19" s="112">
        <v>0</v>
      </c>
      <c r="AM19" s="396">
        <f t="shared" si="2"/>
        <v>-0.24265999999999999</v>
      </c>
      <c r="AN19" s="397"/>
      <c r="AO19" s="157">
        <v>177196</v>
      </c>
      <c r="AP19" s="398">
        <f t="shared" si="3"/>
        <v>63595</v>
      </c>
      <c r="AQ19" s="158">
        <f t="shared" si="4"/>
        <v>0.55981021293826638</v>
      </c>
      <c r="AR19" s="524" t="s">
        <v>2152</v>
      </c>
    </row>
    <row r="20" spans="1:44" s="213" customFormat="1" x14ac:dyDescent="0.25">
      <c r="A20" s="214" t="s">
        <v>1414</v>
      </c>
      <c r="B20" s="395" t="str">
        <f t="shared" si="5"/>
        <v>5201</v>
      </c>
      <c r="C20" s="394" t="s">
        <v>1522</v>
      </c>
      <c r="D20" s="112"/>
      <c r="E20" s="112"/>
      <c r="F20" s="216"/>
      <c r="H20" s="112"/>
      <c r="I20" s="112"/>
      <c r="J20" s="216"/>
      <c r="L20" s="112"/>
      <c r="M20" s="112"/>
      <c r="N20" s="216"/>
      <c r="P20" s="112"/>
      <c r="Q20" s="112"/>
      <c r="R20" s="216"/>
      <c r="T20" s="112"/>
      <c r="U20" s="112"/>
      <c r="V20" s="216"/>
      <c r="X20" s="112"/>
      <c r="Y20" s="112"/>
      <c r="Z20" s="216"/>
      <c r="AB20" s="112"/>
      <c r="AC20" s="112"/>
      <c r="AD20" s="216"/>
      <c r="AF20" s="245"/>
      <c r="AG20" s="245"/>
      <c r="AH20" s="245">
        <v>132</v>
      </c>
      <c r="AI20" s="216"/>
      <c r="AJ20" s="216"/>
      <c r="AK20" s="112">
        <v>132</v>
      </c>
      <c r="AL20" s="112">
        <v>0</v>
      </c>
      <c r="AM20" s="396"/>
      <c r="AN20" s="397"/>
      <c r="AO20" s="157">
        <v>132</v>
      </c>
      <c r="AP20" s="398">
        <f t="shared" si="3"/>
        <v>0</v>
      </c>
      <c r="AQ20" s="158">
        <f t="shared" si="4"/>
        <v>0</v>
      </c>
      <c r="AR20" s="400" t="s">
        <v>1524</v>
      </c>
    </row>
    <row r="21" spans="1:44" s="397" customFormat="1" x14ac:dyDescent="0.25">
      <c r="A21" s="395" t="s">
        <v>1819</v>
      </c>
      <c r="B21" s="395" t="str">
        <f t="shared" si="5"/>
        <v>5202</v>
      </c>
      <c r="C21" s="394" t="s">
        <v>1820</v>
      </c>
      <c r="D21" s="112"/>
      <c r="E21" s="112"/>
      <c r="F21" s="396"/>
      <c r="H21" s="112"/>
      <c r="I21" s="112"/>
      <c r="J21" s="396"/>
      <c r="L21" s="112"/>
      <c r="M21" s="112"/>
      <c r="N21" s="396"/>
      <c r="P21" s="112"/>
      <c r="Q21" s="112"/>
      <c r="R21" s="396"/>
      <c r="T21" s="112"/>
      <c r="U21" s="112"/>
      <c r="V21" s="396"/>
      <c r="X21" s="112"/>
      <c r="Y21" s="112"/>
      <c r="Z21" s="396"/>
      <c r="AB21" s="112">
        <v>713.82</v>
      </c>
      <c r="AC21" s="112">
        <v>713.82</v>
      </c>
      <c r="AD21" s="396"/>
      <c r="AF21" s="398"/>
      <c r="AG21" s="398">
        <v>800</v>
      </c>
      <c r="AH21" s="398">
        <v>1787.03</v>
      </c>
      <c r="AI21" s="396"/>
      <c r="AJ21" s="396"/>
      <c r="AK21" s="112">
        <v>1528.42</v>
      </c>
      <c r="AL21" s="112">
        <v>976.35</v>
      </c>
      <c r="AM21" s="396"/>
      <c r="AO21" s="157">
        <v>1528.42</v>
      </c>
      <c r="AP21" s="398">
        <f>AO21-AK21</f>
        <v>0</v>
      </c>
      <c r="AQ21" s="158">
        <f t="shared" ref="AQ21:AQ26" si="6">AP21/AK21</f>
        <v>0</v>
      </c>
      <c r="AR21" s="400" t="s">
        <v>1524</v>
      </c>
    </row>
    <row r="22" spans="1:44" s="397" customFormat="1" x14ac:dyDescent="0.25">
      <c r="A22" s="395" t="s">
        <v>2002</v>
      </c>
      <c r="B22" s="395" t="str">
        <f t="shared" si="5"/>
        <v>5203</v>
      </c>
      <c r="C22" s="394" t="s">
        <v>2003</v>
      </c>
      <c r="D22" s="112"/>
      <c r="E22" s="112"/>
      <c r="F22" s="396"/>
      <c r="H22" s="112"/>
      <c r="I22" s="112"/>
      <c r="J22" s="396"/>
      <c r="L22" s="112"/>
      <c r="M22" s="112"/>
      <c r="N22" s="396"/>
      <c r="P22" s="112"/>
      <c r="Q22" s="112"/>
      <c r="R22" s="396"/>
      <c r="T22" s="112"/>
      <c r="U22" s="112"/>
      <c r="V22" s="396"/>
      <c r="X22" s="112"/>
      <c r="Y22" s="112"/>
      <c r="Z22" s="396"/>
      <c r="AB22" s="112"/>
      <c r="AC22" s="112"/>
      <c r="AD22" s="396"/>
      <c r="AF22" s="398"/>
      <c r="AG22" s="398"/>
      <c r="AH22" s="398"/>
      <c r="AI22" s="396"/>
      <c r="AJ22" s="396"/>
      <c r="AK22" s="112"/>
      <c r="AL22" s="112">
        <v>275.39999999999998</v>
      </c>
      <c r="AM22" s="396"/>
      <c r="AO22" s="157">
        <v>6025</v>
      </c>
      <c r="AP22" s="398"/>
      <c r="AQ22" s="158"/>
      <c r="AR22" s="524" t="s">
        <v>2155</v>
      </c>
    </row>
    <row r="23" spans="1:44" s="211" customFormat="1" x14ac:dyDescent="0.25">
      <c r="A23" s="395" t="s">
        <v>2001</v>
      </c>
      <c r="B23" s="395" t="str">
        <f t="shared" si="5"/>
        <v>5204</v>
      </c>
      <c r="C23" s="211" t="s">
        <v>1523</v>
      </c>
      <c r="D23" s="112"/>
      <c r="E23" s="112"/>
      <c r="F23" s="216"/>
      <c r="G23" s="213"/>
      <c r="H23" s="112"/>
      <c r="I23" s="112"/>
      <c r="J23" s="216"/>
      <c r="K23" s="213"/>
      <c r="L23" s="112"/>
      <c r="M23" s="112"/>
      <c r="N23" s="216"/>
      <c r="O23" s="213"/>
      <c r="P23" s="112"/>
      <c r="Q23" s="112"/>
      <c r="R23" s="216"/>
      <c r="S23" s="213"/>
      <c r="T23" s="112"/>
      <c r="U23" s="112"/>
      <c r="V23" s="216"/>
      <c r="W23" s="213"/>
      <c r="X23" s="112"/>
      <c r="Y23" s="112"/>
      <c r="Z23" s="216"/>
      <c r="AA23" s="213"/>
      <c r="AB23" s="112"/>
      <c r="AC23" s="112"/>
      <c r="AD23" s="216"/>
      <c r="AE23" s="213"/>
      <c r="AF23" s="398"/>
      <c r="AG23" s="398"/>
      <c r="AH23" s="398"/>
      <c r="AI23" s="216"/>
      <c r="AJ23" s="216"/>
      <c r="AK23" s="112">
        <v>8000</v>
      </c>
      <c r="AL23" s="112">
        <v>0</v>
      </c>
      <c r="AM23" s="396"/>
      <c r="AN23" s="397"/>
      <c r="AO23" s="157">
        <v>14000</v>
      </c>
      <c r="AP23" s="245">
        <f>AO23-AK23</f>
        <v>6000</v>
      </c>
      <c r="AQ23" s="158">
        <f>AP23/AK23</f>
        <v>0.75</v>
      </c>
      <c r="AR23" s="512" t="s">
        <v>2004</v>
      </c>
    </row>
    <row r="24" spans="1:44" s="114" customFormat="1" x14ac:dyDescent="0.25">
      <c r="A24" s="219"/>
      <c r="B24" s="219"/>
      <c r="C24" s="219" t="s">
        <v>279</v>
      </c>
      <c r="D24" s="220">
        <f>SUM(D10:D20)</f>
        <v>766242.01</v>
      </c>
      <c r="E24" s="220">
        <f>SUM(E10:E20)</f>
        <v>743425.16999999993</v>
      </c>
      <c r="F24" s="221">
        <v>4.9599999999999998E-2</v>
      </c>
      <c r="G24" s="219"/>
      <c r="H24" s="220">
        <f>SUM(H10:H20)</f>
        <v>788420</v>
      </c>
      <c r="I24" s="220">
        <f>SUM(I10:I20)</f>
        <v>784465.51</v>
      </c>
      <c r="J24" s="221">
        <v>4.9599999999999998E-2</v>
      </c>
      <c r="K24" s="219"/>
      <c r="L24" s="220">
        <f>SUM(L10:L20)</f>
        <v>827541.17</v>
      </c>
      <c r="M24" s="220">
        <f>SUM(M10:M20)</f>
        <v>822524.53999999992</v>
      </c>
      <c r="N24" s="221">
        <v>4.9599999999999998E-2</v>
      </c>
      <c r="O24" s="219"/>
      <c r="P24" s="220">
        <f>SUM(P10:P20)</f>
        <v>873872.42</v>
      </c>
      <c r="Q24" s="220">
        <f>SUM(Q10:Q20)</f>
        <v>858638.7</v>
      </c>
      <c r="R24" s="221">
        <v>4.9599999999999998E-2</v>
      </c>
      <c r="S24" s="219"/>
      <c r="T24" s="220">
        <f>SUM(T10:T20)</f>
        <v>989074.62</v>
      </c>
      <c r="U24" s="220">
        <f>SUM(U10:U20)</f>
        <v>955249.37000000011</v>
      </c>
      <c r="V24" s="221">
        <v>4.9599999999999998E-2</v>
      </c>
      <c r="W24" s="219"/>
      <c r="X24" s="220">
        <f>SUM(X10:X20)</f>
        <v>1123816.49</v>
      </c>
      <c r="Y24" s="220">
        <f>SUM(Y10:Y20)</f>
        <v>1072970.76</v>
      </c>
      <c r="Z24" s="222">
        <f>(X24-T24)/T24</f>
        <v>0.13623023710789384</v>
      </c>
      <c r="AA24" s="219"/>
      <c r="AB24" s="401">
        <f>SUM(AB10:AB23)</f>
        <v>1158525.8900000001</v>
      </c>
      <c r="AC24" s="401">
        <f>SUM(AC10:AC23)</f>
        <v>1049916.4500000002</v>
      </c>
      <c r="AD24" s="221">
        <f>(AB24-X24)/X24</f>
        <v>3.0885291601300619E-2</v>
      </c>
      <c r="AE24" s="219"/>
      <c r="AF24" s="220">
        <f>SUM(AF10:AF20)</f>
        <v>1227618.0299999998</v>
      </c>
      <c r="AG24" s="401">
        <f>SUM(AG10:AG23)</f>
        <v>1228418.0299999998</v>
      </c>
      <c r="AH24" s="401">
        <f>SUM(AH10:AH23)</f>
        <v>1143829.6599999999</v>
      </c>
      <c r="AI24" s="221">
        <f>(AG24-AB24)/AB24</f>
        <v>6.0328509361150022E-2</v>
      </c>
      <c r="AJ24" s="221"/>
      <c r="AK24" s="401">
        <f>SUM(AK10:AK23)</f>
        <v>1195760.6599999999</v>
      </c>
      <c r="AL24" s="401">
        <f>SUM(AL10:AL23)</f>
        <v>767102.52</v>
      </c>
      <c r="AM24" s="221">
        <f>(AK24-AG24)/AG24</f>
        <v>-2.6584899604575069E-2</v>
      </c>
      <c r="AN24" s="219"/>
      <c r="AO24" s="401">
        <f>SUM(AO10:AO23)</f>
        <v>1259592.1708609278</v>
      </c>
      <c r="AP24" s="401">
        <f>SUM(AP10:AP23)</f>
        <v>57806.510860927869</v>
      </c>
      <c r="AQ24" s="221">
        <f t="shared" si="6"/>
        <v>4.8342877295300776E-2</v>
      </c>
      <c r="AR24" s="219"/>
    </row>
    <row r="25" spans="1:44" s="211" customFormat="1" x14ac:dyDescent="0.25">
      <c r="D25" s="112"/>
      <c r="E25" s="112"/>
      <c r="F25" s="216"/>
      <c r="G25" s="213"/>
      <c r="H25" s="112"/>
      <c r="I25" s="112"/>
      <c r="J25" s="216"/>
      <c r="K25" s="213"/>
      <c r="L25" s="112"/>
      <c r="M25" s="112"/>
      <c r="N25" s="216"/>
      <c r="O25" s="213"/>
      <c r="P25" s="112"/>
      <c r="Q25" s="112"/>
      <c r="R25" s="216"/>
      <c r="S25" s="213"/>
      <c r="T25" s="112"/>
      <c r="U25" s="112"/>
      <c r="V25" s="216"/>
      <c r="W25" s="213"/>
      <c r="X25" s="112"/>
      <c r="Y25" s="112"/>
      <c r="Z25" s="216"/>
      <c r="AA25" s="213"/>
      <c r="AB25" s="112"/>
      <c r="AC25" s="112"/>
      <c r="AD25" s="216"/>
      <c r="AE25" s="213"/>
      <c r="AF25" s="112"/>
      <c r="AG25" s="112"/>
      <c r="AH25" s="112"/>
      <c r="AI25" s="216"/>
      <c r="AJ25" s="216"/>
      <c r="AK25" s="112"/>
      <c r="AL25" s="112"/>
      <c r="AM25" s="396"/>
      <c r="AN25" s="397"/>
      <c r="AO25" s="212"/>
      <c r="AP25" s="212"/>
      <c r="AQ25" s="396"/>
    </row>
    <row r="26" spans="1:44" s="114" customFormat="1" ht="12.75" x14ac:dyDescent="0.2">
      <c r="A26" s="228"/>
      <c r="B26" s="228"/>
      <c r="C26" s="233" t="s">
        <v>280</v>
      </c>
      <c r="D26" s="230">
        <f>D7+D24</f>
        <v>766242.01</v>
      </c>
      <c r="E26" s="230">
        <f>E7+E24</f>
        <v>743425.16999999993</v>
      </c>
      <c r="F26" s="231">
        <v>4.9599999999999998E-2</v>
      </c>
      <c r="G26" s="228"/>
      <c r="H26" s="230">
        <f>H7+H24</f>
        <v>788420</v>
      </c>
      <c r="I26" s="230">
        <f>I7+I24</f>
        <v>784465.51</v>
      </c>
      <c r="J26" s="231">
        <v>4.9599999999999998E-2</v>
      </c>
      <c r="K26" s="228"/>
      <c r="L26" s="230">
        <f>L7+L24</f>
        <v>827541.17</v>
      </c>
      <c r="M26" s="230">
        <f>M7+M24</f>
        <v>822524.53999999992</v>
      </c>
      <c r="N26" s="231">
        <v>4.9599999999999998E-2</v>
      </c>
      <c r="O26" s="228"/>
      <c r="P26" s="230">
        <f>P7+P24</f>
        <v>873872.42</v>
      </c>
      <c r="Q26" s="230">
        <f>Q7+Q24</f>
        <v>858638.7</v>
      </c>
      <c r="R26" s="231">
        <v>4.9599999999999998E-2</v>
      </c>
      <c r="S26" s="228"/>
      <c r="T26" s="230">
        <f>T7+T24</f>
        <v>989074.62</v>
      </c>
      <c r="U26" s="230">
        <f>U7+U24</f>
        <v>955249.37000000011</v>
      </c>
      <c r="V26" s="231">
        <v>4.9599999999999998E-2</v>
      </c>
      <c r="W26" s="228"/>
      <c r="X26" s="230">
        <f>X7+X24</f>
        <v>1123816.49</v>
      </c>
      <c r="Y26" s="230">
        <f>Y7+Y24</f>
        <v>1072970.76</v>
      </c>
      <c r="Z26" s="231">
        <f>(X26-T26)/T26</f>
        <v>0.13623023710789384</v>
      </c>
      <c r="AA26" s="228"/>
      <c r="AB26" s="230">
        <f>AB7+AB24</f>
        <v>1158525.8900000001</v>
      </c>
      <c r="AC26" s="230">
        <f>AC7+AC24</f>
        <v>1049916.4500000002</v>
      </c>
      <c r="AD26" s="231">
        <f>(AB26-X26)/X26</f>
        <v>3.0885291601300619E-2</v>
      </c>
      <c r="AE26" s="228"/>
      <c r="AF26" s="230">
        <f>AF7+AF24</f>
        <v>1227618.0299999998</v>
      </c>
      <c r="AG26" s="230">
        <f>AG7+AG24</f>
        <v>1228418.0299999998</v>
      </c>
      <c r="AH26" s="230">
        <f>AH7+AH24</f>
        <v>1143829.6599999999</v>
      </c>
      <c r="AI26" s="231">
        <f>(AG26-AB26)/AB26</f>
        <v>6.0328509361150022E-2</v>
      </c>
      <c r="AJ26" s="231"/>
      <c r="AK26" s="402">
        <f>AK7+AK24</f>
        <v>1195760.6599999999</v>
      </c>
      <c r="AL26" s="402">
        <f>AL7+AL24</f>
        <v>767102.52</v>
      </c>
      <c r="AM26" s="231">
        <f>(AK26-AG26)/AG26</f>
        <v>-2.6584899604575069E-2</v>
      </c>
      <c r="AN26" s="228"/>
      <c r="AO26" s="232">
        <f>AO24+AO7</f>
        <v>1259592.1708609278</v>
      </c>
      <c r="AP26" s="232">
        <f>AP24+AP7</f>
        <v>57806.510860927869</v>
      </c>
      <c r="AQ26" s="231">
        <f t="shared" si="6"/>
        <v>4.8342877295300776E-2</v>
      </c>
      <c r="AR26" s="233"/>
    </row>
    <row r="27" spans="1:44" x14ac:dyDescent="0.25">
      <c r="D27" s="120"/>
      <c r="H27" s="120"/>
      <c r="L27" s="120"/>
      <c r="P27" s="120"/>
      <c r="T27" s="120"/>
      <c r="X27" s="120"/>
      <c r="AB27" s="120"/>
      <c r="AF27" s="120"/>
      <c r="AG27" s="120"/>
      <c r="AK27" s="403"/>
    </row>
    <row r="28" spans="1:44" s="111" customFormat="1" thickBot="1" x14ac:dyDescent="0.25">
      <c r="C28" s="111" t="s">
        <v>281</v>
      </c>
      <c r="D28" s="122"/>
      <c r="E28" s="121">
        <f>D26-E26</f>
        <v>22816.840000000084</v>
      </c>
      <c r="G28" s="118"/>
      <c r="H28" s="122"/>
      <c r="I28" s="121">
        <f>H26-I26</f>
        <v>3954.4899999999907</v>
      </c>
      <c r="K28" s="118"/>
      <c r="L28" s="122"/>
      <c r="M28" s="121">
        <f>L26-M26</f>
        <v>5016.6300000001211</v>
      </c>
      <c r="O28" s="118"/>
      <c r="P28" s="122"/>
      <c r="Q28" s="121">
        <f>P26-Q26</f>
        <v>15233.720000000088</v>
      </c>
      <c r="S28" s="118"/>
      <c r="T28" s="122"/>
      <c r="U28" s="121">
        <f>T26-U26</f>
        <v>33825.249999999884</v>
      </c>
      <c r="W28" s="118"/>
      <c r="X28" s="122"/>
      <c r="Y28" s="121">
        <f>X26-Y26</f>
        <v>50845.729999999981</v>
      </c>
      <c r="AA28" s="118"/>
      <c r="AB28" s="122"/>
      <c r="AC28" s="121">
        <f>AB26-AC26</f>
        <v>108609.43999999994</v>
      </c>
      <c r="AE28" s="118"/>
      <c r="AF28" s="122"/>
      <c r="AG28" s="122"/>
      <c r="AH28" s="121">
        <f>AG26-AH26</f>
        <v>84588.369999999879</v>
      </c>
      <c r="AK28" s="122"/>
      <c r="AL28" s="121">
        <f>AK26-AL26</f>
        <v>428658.1399999999</v>
      </c>
      <c r="AN28" s="118"/>
      <c r="AO28" s="123"/>
      <c r="AP28" s="123"/>
    </row>
    <row r="29" spans="1:44" ht="14.25" thickTop="1" x14ac:dyDescent="0.25">
      <c r="D29" s="120"/>
      <c r="F29" s="216"/>
      <c r="H29" s="120"/>
      <c r="J29" s="216"/>
      <c r="L29" s="120"/>
      <c r="N29" s="216"/>
      <c r="P29" s="120"/>
      <c r="R29" s="216"/>
      <c r="T29" s="120"/>
      <c r="V29" s="80"/>
      <c r="X29" s="120"/>
      <c r="AB29" s="120"/>
      <c r="AF29" s="120"/>
      <c r="AG29" s="120"/>
      <c r="AK29" s="403"/>
    </row>
    <row r="30" spans="1:44" x14ac:dyDescent="0.25">
      <c r="D30" s="120"/>
      <c r="F30" s="216"/>
      <c r="H30" s="120"/>
      <c r="J30" s="216"/>
      <c r="L30" s="120"/>
      <c r="N30" s="216"/>
      <c r="P30" s="120"/>
      <c r="R30" s="216"/>
      <c r="T30" s="120"/>
      <c r="V30" s="80"/>
      <c r="X30" s="120"/>
      <c r="AB30" s="120"/>
      <c r="AF30" s="120"/>
      <c r="AG30" s="120"/>
      <c r="AK30" s="403"/>
      <c r="AR30" s="79"/>
    </row>
    <row r="31" spans="1:44" x14ac:dyDescent="0.25">
      <c r="C31" s="111"/>
      <c r="D31" s="120"/>
      <c r="F31" s="216"/>
      <c r="H31" s="120"/>
      <c r="J31" s="216"/>
      <c r="L31" s="120"/>
      <c r="N31" s="216"/>
      <c r="P31" s="120"/>
      <c r="R31" s="216"/>
      <c r="T31" s="120"/>
      <c r="V31" s="80"/>
      <c r="X31" s="120"/>
      <c r="AB31" s="120"/>
      <c r="AF31" s="120"/>
      <c r="AG31" s="120"/>
      <c r="AK31" s="403"/>
      <c r="AO31" s="123"/>
    </row>
    <row r="32" spans="1:44" x14ac:dyDescent="0.25">
      <c r="D32" s="120"/>
      <c r="F32" s="216"/>
      <c r="H32" s="120"/>
      <c r="J32" s="216"/>
      <c r="L32" s="120"/>
      <c r="N32" s="216"/>
      <c r="P32" s="120"/>
      <c r="R32" s="216"/>
      <c r="T32" s="120"/>
      <c r="V32" s="80"/>
      <c r="X32" s="120"/>
      <c r="AB32" s="120"/>
      <c r="AF32" s="120"/>
      <c r="AG32" s="120"/>
      <c r="AK32" s="403"/>
    </row>
    <row r="33" spans="4:41" x14ac:dyDescent="0.25">
      <c r="D33" s="120"/>
      <c r="F33" s="216"/>
      <c r="H33" s="120"/>
      <c r="J33" s="216"/>
      <c r="L33" s="120"/>
      <c r="N33" s="216"/>
      <c r="P33" s="120"/>
      <c r="R33" s="216"/>
      <c r="T33" s="120"/>
      <c r="V33" s="80"/>
      <c r="X33" s="403" t="s">
        <v>1416</v>
      </c>
      <c r="AB33" s="120"/>
      <c r="AF33" s="120"/>
      <c r="AG33" s="120"/>
      <c r="AK33" s="403"/>
      <c r="AO33" s="155"/>
    </row>
    <row r="34" spans="4:41" x14ac:dyDescent="0.25">
      <c r="D34" s="120"/>
      <c r="F34" s="216"/>
      <c r="H34" s="120"/>
      <c r="J34" s="216"/>
      <c r="L34" s="120"/>
      <c r="N34" s="216"/>
      <c r="P34" s="120"/>
      <c r="R34" s="216"/>
      <c r="T34" s="120"/>
      <c r="V34" s="80"/>
      <c r="X34" s="403" t="s">
        <v>1415</v>
      </c>
      <c r="AB34" s="120"/>
      <c r="AF34" s="120"/>
      <c r="AG34" s="120"/>
      <c r="AK34" s="403"/>
    </row>
    <row r="35" spans="4:41" x14ac:dyDescent="0.25">
      <c r="D35" s="120"/>
      <c r="F35" s="216"/>
      <c r="H35" s="120"/>
      <c r="J35" s="216"/>
      <c r="L35" s="120"/>
      <c r="N35" s="216"/>
      <c r="P35" s="120"/>
      <c r="R35" s="216"/>
      <c r="T35" s="120"/>
      <c r="V35" s="80"/>
      <c r="X35" s="403" t="s">
        <v>1417</v>
      </c>
      <c r="AB35" s="120"/>
      <c r="AF35" s="120"/>
      <c r="AG35" s="120"/>
      <c r="AK35" s="403"/>
    </row>
    <row r="36" spans="4:41" x14ac:dyDescent="0.25">
      <c r="D36" s="120"/>
      <c r="F36" s="216"/>
      <c r="H36" s="120"/>
      <c r="J36" s="216"/>
      <c r="L36" s="120"/>
      <c r="N36" s="216"/>
      <c r="P36" s="120"/>
      <c r="R36" s="216"/>
      <c r="T36" s="120"/>
      <c r="V36" s="80"/>
      <c r="X36" s="120"/>
      <c r="AB36" s="120"/>
      <c r="AF36" s="120"/>
      <c r="AG36" s="120"/>
      <c r="AK36" s="403"/>
    </row>
    <row r="37" spans="4:41" x14ac:dyDescent="0.25">
      <c r="D37" s="120"/>
      <c r="F37" s="216"/>
      <c r="H37" s="120"/>
      <c r="J37" s="216"/>
      <c r="L37" s="120"/>
      <c r="N37" s="216"/>
      <c r="P37" s="120"/>
      <c r="R37" s="216"/>
      <c r="T37" s="120"/>
      <c r="V37" s="80"/>
      <c r="X37" s="120"/>
      <c r="AB37" s="120"/>
      <c r="AF37" s="120"/>
      <c r="AG37" s="120"/>
      <c r="AK37" s="403"/>
    </row>
    <row r="38" spans="4:41" x14ac:dyDescent="0.25">
      <c r="D38" s="120"/>
      <c r="F38" s="216"/>
      <c r="H38" s="120"/>
      <c r="J38" s="216"/>
      <c r="L38" s="120"/>
      <c r="N38" s="216"/>
      <c r="P38" s="120"/>
      <c r="R38" s="216"/>
      <c r="T38" s="120"/>
      <c r="V38" s="80"/>
      <c r="X38" s="120"/>
      <c r="AB38" s="120"/>
      <c r="AF38" s="120"/>
      <c r="AG38" s="120"/>
      <c r="AK38" s="403"/>
    </row>
    <row r="39" spans="4:41" x14ac:dyDescent="0.25">
      <c r="D39" s="120"/>
      <c r="F39" s="216"/>
      <c r="H39" s="120"/>
      <c r="J39" s="216"/>
      <c r="L39" s="120"/>
      <c r="N39" s="216"/>
      <c r="P39" s="120"/>
      <c r="R39" s="216"/>
      <c r="T39" s="120"/>
      <c r="V39" s="80"/>
      <c r="X39" s="120"/>
      <c r="AB39" s="120"/>
      <c r="AF39" s="120"/>
      <c r="AG39" s="120"/>
      <c r="AK39" s="403"/>
    </row>
    <row r="40" spans="4:41" x14ac:dyDescent="0.25">
      <c r="D40" s="120"/>
      <c r="F40" s="216"/>
      <c r="H40" s="120"/>
      <c r="J40" s="216"/>
      <c r="L40" s="120"/>
      <c r="N40" s="216"/>
      <c r="P40" s="120"/>
      <c r="R40" s="216"/>
      <c r="T40" s="120"/>
      <c r="V40" s="80"/>
      <c r="X40" s="120"/>
      <c r="AB40" s="120"/>
      <c r="AF40" s="120"/>
      <c r="AG40" s="120"/>
      <c r="AK40" s="403"/>
    </row>
    <row r="41" spans="4:41" x14ac:dyDescent="0.25">
      <c r="D41" s="120"/>
      <c r="F41" s="216"/>
      <c r="H41" s="120"/>
      <c r="J41" s="216"/>
      <c r="L41" s="120"/>
      <c r="N41" s="216"/>
      <c r="P41" s="120"/>
      <c r="R41" s="216"/>
      <c r="T41" s="120"/>
      <c r="V41" s="80"/>
      <c r="X41" s="120"/>
      <c r="AB41" s="120"/>
      <c r="AF41" s="120"/>
      <c r="AG41" s="120"/>
      <c r="AK41" s="403"/>
    </row>
    <row r="42" spans="4:41" x14ac:dyDescent="0.25">
      <c r="D42" s="120"/>
      <c r="F42" s="216"/>
      <c r="H42" s="120"/>
      <c r="J42" s="216"/>
      <c r="L42" s="120"/>
      <c r="N42" s="216"/>
      <c r="P42" s="120"/>
      <c r="R42" s="216"/>
      <c r="T42" s="120"/>
      <c r="V42" s="80"/>
      <c r="X42" s="120"/>
      <c r="AB42" s="120"/>
      <c r="AF42" s="120"/>
      <c r="AG42" s="120"/>
      <c r="AK42" s="403"/>
    </row>
    <row r="43" spans="4:41" x14ac:dyDescent="0.25">
      <c r="D43" s="120"/>
      <c r="F43" s="216"/>
      <c r="H43" s="120"/>
      <c r="J43" s="216"/>
      <c r="L43" s="120"/>
      <c r="N43" s="216"/>
      <c r="P43" s="120"/>
      <c r="R43" s="216"/>
      <c r="T43" s="120"/>
      <c r="V43" s="80"/>
      <c r="X43" s="120"/>
      <c r="AB43" s="120"/>
      <c r="AF43" s="120"/>
      <c r="AG43" s="120"/>
      <c r="AK43" s="403"/>
    </row>
    <row r="44" spans="4:41" x14ac:dyDescent="0.25">
      <c r="D44" s="120"/>
      <c r="F44" s="216"/>
      <c r="H44" s="120"/>
      <c r="J44" s="216"/>
      <c r="L44" s="120"/>
      <c r="N44" s="216"/>
      <c r="P44" s="120"/>
      <c r="R44" s="216"/>
      <c r="T44" s="120"/>
      <c r="V44" s="80"/>
      <c r="X44" s="120"/>
      <c r="AB44" s="120"/>
      <c r="AF44" s="120"/>
      <c r="AG44" s="120"/>
      <c r="AK44" s="403"/>
    </row>
    <row r="45" spans="4:41" x14ac:dyDescent="0.25">
      <c r="D45" s="120"/>
      <c r="F45" s="216"/>
      <c r="H45" s="120"/>
      <c r="J45" s="216"/>
      <c r="L45" s="120"/>
      <c r="N45" s="216"/>
      <c r="P45" s="120"/>
      <c r="R45" s="216"/>
      <c r="T45" s="120"/>
      <c r="V45" s="80"/>
      <c r="X45" s="120"/>
      <c r="AB45" s="120"/>
      <c r="AF45" s="120"/>
      <c r="AG45" s="120"/>
      <c r="AK45" s="403"/>
    </row>
    <row r="46" spans="4:41" ht="12.75" customHeight="1" x14ac:dyDescent="0.25">
      <c r="D46" s="120"/>
      <c r="H46" s="120"/>
      <c r="L46" s="120"/>
      <c r="P46" s="120"/>
      <c r="T46" s="120"/>
      <c r="X46" s="120"/>
      <c r="AB46" s="120"/>
      <c r="AF46" s="120"/>
      <c r="AG46" s="120"/>
      <c r="AK46" s="403"/>
    </row>
    <row r="47" spans="4:41" x14ac:dyDescent="0.25">
      <c r="D47" s="120"/>
      <c r="H47" s="120"/>
      <c r="L47" s="120"/>
      <c r="P47" s="120"/>
      <c r="T47" s="120"/>
      <c r="X47" s="120"/>
      <c r="AB47" s="120"/>
      <c r="AF47" s="120"/>
      <c r="AG47" s="120"/>
      <c r="AK47" s="403"/>
    </row>
    <row r="48" spans="4:41"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403" t="s">
        <v>1511</v>
      </c>
      <c r="E127" s="211">
        <v>30.35</v>
      </c>
      <c r="F127" s="211">
        <v>25</v>
      </c>
      <c r="G127" s="397"/>
      <c r="H127" s="403"/>
      <c r="I127" s="394"/>
      <c r="J127" s="394"/>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row r="376" spans="4:37" x14ac:dyDescent="0.25">
      <c r="D376" s="120"/>
      <c r="H376" s="120"/>
      <c r="L376" s="120"/>
      <c r="P376" s="120"/>
      <c r="T376" s="120"/>
      <c r="X376" s="120"/>
      <c r="AB376" s="120"/>
      <c r="AF376" s="120"/>
      <c r="AG376" s="120"/>
      <c r="AK376" s="403"/>
    </row>
    <row r="377" spans="4:37" x14ac:dyDescent="0.25">
      <c r="D377" s="120"/>
      <c r="H377" s="120"/>
      <c r="L377" s="120"/>
      <c r="P377" s="120"/>
      <c r="T377" s="120"/>
      <c r="X377" s="120"/>
      <c r="AB377" s="120"/>
      <c r="AF377" s="120"/>
      <c r="AG377" s="120"/>
      <c r="AK377" s="403"/>
    </row>
    <row r="378" spans="4:37" x14ac:dyDescent="0.25">
      <c r="D378" s="120"/>
      <c r="H378" s="120"/>
      <c r="L378" s="120"/>
      <c r="P378" s="120"/>
      <c r="T378" s="120"/>
      <c r="X378" s="120"/>
      <c r="AB378" s="120"/>
      <c r="AF378" s="120"/>
      <c r="AG378" s="120"/>
      <c r="AK378" s="403"/>
    </row>
    <row r="379" spans="4:37" x14ac:dyDescent="0.25">
      <c r="D379" s="120"/>
      <c r="H379" s="120"/>
      <c r="L379" s="120"/>
      <c r="P379" s="120"/>
      <c r="T379" s="120"/>
      <c r="X379" s="120"/>
      <c r="AB379" s="120"/>
      <c r="AF379" s="120"/>
      <c r="AG379" s="120"/>
      <c r="AK379" s="403"/>
    </row>
    <row r="380" spans="4:37" x14ac:dyDescent="0.25">
      <c r="D380" s="120"/>
      <c r="H380" s="120"/>
      <c r="L380" s="120"/>
      <c r="P380" s="120"/>
      <c r="T380" s="120"/>
      <c r="X380" s="120"/>
      <c r="AB380" s="120"/>
      <c r="AF380" s="120"/>
      <c r="AG380" s="120"/>
      <c r="AK380" s="403"/>
    </row>
    <row r="381" spans="4:37" x14ac:dyDescent="0.25">
      <c r="D381" s="120"/>
      <c r="H381" s="120"/>
      <c r="L381" s="120"/>
      <c r="P381" s="120"/>
      <c r="T381" s="120"/>
      <c r="X381" s="120"/>
      <c r="AB381" s="120"/>
      <c r="AF381" s="120"/>
      <c r="AG381" s="120"/>
      <c r="AK381" s="403"/>
    </row>
    <row r="382" spans="4:37" x14ac:dyDescent="0.25">
      <c r="D382" s="120"/>
      <c r="H382" s="120"/>
      <c r="L382" s="120"/>
      <c r="P382" s="120"/>
      <c r="T382" s="120"/>
      <c r="X382" s="120"/>
      <c r="AB382" s="120"/>
      <c r="AF382" s="120"/>
      <c r="AG382" s="120"/>
      <c r="AK382" s="403"/>
    </row>
  </sheetData>
  <sortState xmlns:xlrd2="http://schemas.microsoft.com/office/spreadsheetml/2017/richdata2" ref="A10:AR21">
    <sortCondition ref="B10:B21"/>
  </sortState>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1" orientation="landscape" copies="15" r:id="rId1"/>
  <headerFooter alignWithMargins="0">
    <oddHeader>&amp;C&amp;"-,Bold"Proposed Budget &amp; Analysis Report for FY20</oddHeader>
    <oddFooter>&amp;C&amp;D&amp;T&amp;R&amp;A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R284"/>
  <sheetViews>
    <sheetView zoomScaleNormal="100" zoomScaleSheetLayoutView="100" workbookViewId="0">
      <selection activeCell="AP42" sqref="AP42"/>
    </sheetView>
  </sheetViews>
  <sheetFormatPr defaultRowHeight="13.5" x14ac:dyDescent="0.25"/>
  <cols>
    <col min="1" max="1" width="19" style="161" bestFit="1" customWidth="1"/>
    <col min="2" max="2" width="5" style="161" customWidth="1"/>
    <col min="3" max="3" width="32.7109375" style="161" customWidth="1"/>
    <col min="4" max="4" width="13.28515625" style="211" hidden="1" customWidth="1"/>
    <col min="5" max="5" width="12.140625" style="211" hidden="1" customWidth="1"/>
    <col min="6" max="6" width="7.7109375" style="211" hidden="1" customWidth="1"/>
    <col min="7" max="7" width="3" style="211" hidden="1" customWidth="1"/>
    <col min="8" max="8" width="13.28515625" style="211" hidden="1" customWidth="1"/>
    <col min="9" max="9" width="12.140625" style="211" hidden="1" customWidth="1"/>
    <col min="10" max="10" width="7.7109375" style="211" hidden="1" customWidth="1"/>
    <col min="11" max="11" width="3" style="211" hidden="1" customWidth="1"/>
    <col min="12" max="12" width="13.28515625" style="211" hidden="1" customWidth="1"/>
    <col min="13" max="13" width="12.140625" style="211" hidden="1" customWidth="1"/>
    <col min="14" max="14" width="7.7109375" style="211" hidden="1" customWidth="1"/>
    <col min="15" max="15" width="3" style="211" hidden="1" customWidth="1"/>
    <col min="16" max="16" width="13.28515625" style="211" hidden="1" customWidth="1"/>
    <col min="17" max="17" width="12.140625" style="211" hidden="1" customWidth="1"/>
    <col min="18" max="18" width="7.7109375" style="211" hidden="1" customWidth="1"/>
    <col min="19" max="19" width="3" style="211" hidden="1" customWidth="1"/>
    <col min="20" max="20" width="13.28515625" style="161" hidden="1" customWidth="1"/>
    <col min="21" max="21" width="12.140625" style="161" hidden="1" customWidth="1"/>
    <col min="22" max="22" width="7.7109375" style="161" hidden="1" customWidth="1"/>
    <col min="23" max="23" width="3" style="161" hidden="1" customWidth="1"/>
    <col min="24" max="24" width="11.5703125" style="161" hidden="1" customWidth="1"/>
    <col min="25" max="25" width="12.28515625" style="161" hidden="1" customWidth="1"/>
    <col min="26" max="26" width="7.7109375" style="161" hidden="1" customWidth="1"/>
    <col min="27" max="27" width="2.42578125" style="161" hidden="1" customWidth="1"/>
    <col min="28" max="28" width="11.5703125" style="161" customWidth="1"/>
    <col min="29" max="29" width="12.28515625" style="161" bestFit="1" customWidth="1"/>
    <col min="30" max="30" width="7.7109375" style="161" bestFit="1" customWidth="1"/>
    <col min="31" max="31" width="2.42578125" style="211" customWidth="1"/>
    <col min="32" max="32" width="11.5703125" style="211" hidden="1" customWidth="1"/>
    <col min="33" max="33" width="11.5703125" style="211" customWidth="1"/>
    <col min="34" max="34" width="12.28515625" style="211" bestFit="1" customWidth="1"/>
    <col min="35" max="35" width="8.28515625" style="211" bestFit="1" customWidth="1"/>
    <col min="36" max="36" width="1.85546875" style="161" customWidth="1"/>
    <col min="37" max="37" width="11.5703125" style="394" customWidth="1"/>
    <col min="38" max="38" width="12.28515625" style="394" bestFit="1" customWidth="1"/>
    <col min="39" max="39" width="7.7109375" style="394" bestFit="1" customWidth="1"/>
    <col min="40" max="40" width="2.42578125" style="394" customWidth="1"/>
    <col min="41" max="41" width="13.85546875" style="104" customWidth="1"/>
    <col min="42" max="42" width="11.7109375" style="104" customWidth="1"/>
    <col min="43" max="43" width="11.42578125" style="161" bestFit="1" customWidth="1"/>
    <col min="44" max="44" width="25.42578125" style="161" customWidth="1"/>
    <col min="45" max="45" width="10.42578125" style="161" bestFit="1" customWidth="1"/>
    <col min="46" max="16384" width="9.140625" style="161"/>
  </cols>
  <sheetData>
    <row r="1" spans="1:44" s="213" customFormat="1" x14ac:dyDescent="0.25">
      <c r="A1" s="211"/>
      <c r="B1" s="211"/>
      <c r="C1" s="211"/>
      <c r="D1" s="245"/>
      <c r="E1" s="245"/>
      <c r="F1" s="216"/>
      <c r="H1" s="245"/>
      <c r="I1" s="245"/>
      <c r="J1" s="216"/>
      <c r="L1" s="245"/>
      <c r="M1" s="245"/>
      <c r="N1" s="216"/>
      <c r="P1" s="245"/>
      <c r="Q1" s="245"/>
      <c r="R1" s="216"/>
      <c r="T1" s="245"/>
      <c r="U1" s="245"/>
      <c r="V1" s="216"/>
      <c r="X1" s="245"/>
      <c r="Y1" s="245"/>
      <c r="Z1" s="216"/>
      <c r="AB1" s="245"/>
      <c r="AC1" s="245"/>
      <c r="AD1" s="216"/>
      <c r="AF1" s="245"/>
      <c r="AG1" s="245"/>
      <c r="AH1" s="245"/>
      <c r="AI1" s="216"/>
      <c r="AJ1" s="216"/>
      <c r="AK1" s="398"/>
      <c r="AL1" s="398"/>
      <c r="AM1" s="396"/>
      <c r="AN1" s="397"/>
      <c r="AO1" s="245"/>
      <c r="AP1" s="245"/>
      <c r="AQ1" s="245"/>
      <c r="AR1" s="245"/>
    </row>
    <row r="3" spans="1:44" s="111" customFormat="1" ht="18" x14ac:dyDescent="0.25">
      <c r="C3" s="781" t="s">
        <v>2158</v>
      </c>
      <c r="D3" s="813" t="s">
        <v>1366</v>
      </c>
      <c r="E3" s="813"/>
      <c r="F3" s="813"/>
      <c r="H3" s="813" t="s">
        <v>1365</v>
      </c>
      <c r="I3" s="813"/>
      <c r="J3" s="813"/>
      <c r="L3" s="813" t="s">
        <v>1364</v>
      </c>
      <c r="M3" s="813"/>
      <c r="N3" s="813"/>
      <c r="P3" s="813" t="s">
        <v>110</v>
      </c>
      <c r="Q3" s="813"/>
      <c r="R3" s="813"/>
      <c r="T3" s="813" t="s">
        <v>271</v>
      </c>
      <c r="U3" s="813"/>
      <c r="V3" s="813"/>
      <c r="X3" s="813" t="s">
        <v>980</v>
      </c>
      <c r="Y3" s="813"/>
      <c r="Z3" s="813"/>
      <c r="AB3" s="813" t="s">
        <v>1124</v>
      </c>
      <c r="AC3" s="813"/>
      <c r="AD3" s="813"/>
      <c r="AF3" s="813" t="s">
        <v>1363</v>
      </c>
      <c r="AG3" s="813"/>
      <c r="AH3" s="813"/>
      <c r="AI3" s="813"/>
      <c r="AJ3" s="201"/>
      <c r="AK3" s="813" t="s">
        <v>1592</v>
      </c>
      <c r="AL3" s="813"/>
      <c r="AM3" s="813"/>
      <c r="AO3" s="805" t="s">
        <v>1593</v>
      </c>
      <c r="AP3" s="805"/>
      <c r="AQ3" s="805"/>
      <c r="AR3" s="805"/>
    </row>
    <row r="4" spans="1:44" ht="27" customHeight="1" x14ac:dyDescent="0.25">
      <c r="A4" s="781"/>
      <c r="B4" s="781"/>
      <c r="C4" s="781" t="s">
        <v>2159</v>
      </c>
      <c r="D4" s="106" t="s">
        <v>98</v>
      </c>
      <c r="E4" s="106" t="s">
        <v>27</v>
      </c>
      <c r="F4" s="106" t="s">
        <v>273</v>
      </c>
      <c r="H4" s="106" t="s">
        <v>98</v>
      </c>
      <c r="I4" s="106" t="s">
        <v>27</v>
      </c>
      <c r="J4" s="106" t="s">
        <v>273</v>
      </c>
      <c r="L4" s="106" t="s">
        <v>98</v>
      </c>
      <c r="M4" s="106" t="s">
        <v>27</v>
      </c>
      <c r="N4" s="106" t="s">
        <v>273</v>
      </c>
      <c r="P4" s="106" t="s">
        <v>98</v>
      </c>
      <c r="Q4" s="106" t="s">
        <v>27</v>
      </c>
      <c r="R4" s="106" t="s">
        <v>273</v>
      </c>
      <c r="T4" s="106" t="s">
        <v>98</v>
      </c>
      <c r="U4" s="106" t="s">
        <v>27</v>
      </c>
      <c r="V4" s="106" t="s">
        <v>273</v>
      </c>
      <c r="X4" s="106" t="s">
        <v>98</v>
      </c>
      <c r="Y4" s="106" t="s">
        <v>27</v>
      </c>
      <c r="Z4" s="106" t="s">
        <v>273</v>
      </c>
      <c r="AB4" s="106" t="s">
        <v>98</v>
      </c>
      <c r="AC4" s="106" t="s">
        <v>27</v>
      </c>
      <c r="AD4" s="106" t="s">
        <v>273</v>
      </c>
      <c r="AF4" s="106" t="s">
        <v>98</v>
      </c>
      <c r="AG4" s="106" t="s">
        <v>1369</v>
      </c>
      <c r="AH4" s="106" t="s">
        <v>27</v>
      </c>
      <c r="AI4" s="106" t="s">
        <v>273</v>
      </c>
      <c r="AJ4" s="106"/>
      <c r="AK4" s="106" t="s">
        <v>98</v>
      </c>
      <c r="AL4" s="439" t="s">
        <v>1714</v>
      </c>
      <c r="AM4" s="106" t="s">
        <v>273</v>
      </c>
      <c r="AO4" s="107" t="s">
        <v>274</v>
      </c>
      <c r="AP4" s="108" t="s">
        <v>107</v>
      </c>
      <c r="AQ4" s="109" t="s">
        <v>28</v>
      </c>
      <c r="AR4" s="110" t="s">
        <v>275</v>
      </c>
    </row>
    <row r="5" spans="1:44" x14ac:dyDescent="0.25">
      <c r="A5" s="111" t="s">
        <v>272</v>
      </c>
      <c r="C5" s="111" t="s">
        <v>276</v>
      </c>
      <c r="AR5" s="111"/>
    </row>
    <row r="6" spans="1:44" x14ac:dyDescent="0.25">
      <c r="D6" s="112"/>
      <c r="E6" s="112"/>
      <c r="H6" s="112"/>
      <c r="I6" s="112"/>
      <c r="L6" s="112"/>
      <c r="M6" s="112"/>
      <c r="P6" s="112"/>
      <c r="Q6" s="112"/>
      <c r="T6" s="112"/>
      <c r="U6" s="112"/>
      <c r="X6" s="112"/>
      <c r="Y6" s="112"/>
      <c r="AB6" s="112"/>
      <c r="AC6" s="112"/>
      <c r="AF6" s="218"/>
      <c r="AG6" s="218"/>
      <c r="AH6" s="112"/>
      <c r="AK6" s="112"/>
      <c r="AL6" s="112"/>
      <c r="AO6" s="138"/>
      <c r="AP6" s="138"/>
      <c r="AR6" s="211"/>
    </row>
    <row r="7" spans="1:44" s="114" customFormat="1" x14ac:dyDescent="0.25">
      <c r="A7" s="224"/>
      <c r="B7" s="224"/>
      <c r="C7" s="224" t="s">
        <v>26</v>
      </c>
      <c r="D7" s="225">
        <f>SUM(D6:D6)</f>
        <v>0</v>
      </c>
      <c r="E7" s="225">
        <f>SUM(E6:E6)</f>
        <v>0</v>
      </c>
      <c r="F7" s="226"/>
      <c r="G7" s="224"/>
      <c r="H7" s="225">
        <f>SUM(H6:H6)</f>
        <v>0</v>
      </c>
      <c r="I7" s="225">
        <f>SUM(I6:I6)</f>
        <v>0</v>
      </c>
      <c r="J7" s="226"/>
      <c r="K7" s="224"/>
      <c r="L7" s="225">
        <f>SUM(L6:L6)</f>
        <v>0</v>
      </c>
      <c r="M7" s="225">
        <f>SUM(M6:M6)</f>
        <v>0</v>
      </c>
      <c r="N7" s="226"/>
      <c r="O7" s="224"/>
      <c r="P7" s="225">
        <f>SUM(P6:P6)</f>
        <v>0</v>
      </c>
      <c r="Q7" s="225">
        <f>SUM(Q6:Q6)</f>
        <v>0</v>
      </c>
      <c r="R7" s="226"/>
      <c r="S7" s="224"/>
      <c r="T7" s="225">
        <f>SUM(T6:T6)</f>
        <v>0</v>
      </c>
      <c r="U7" s="225">
        <f>SUM(U6:U6)</f>
        <v>0</v>
      </c>
      <c r="V7" s="226"/>
      <c r="W7" s="224"/>
      <c r="X7" s="225">
        <f>SUM(X6:X6)</f>
        <v>0</v>
      </c>
      <c r="Y7" s="225">
        <f>SUM(Y6:Y6)</f>
        <v>0</v>
      </c>
      <c r="Z7" s="226"/>
      <c r="AA7" s="224"/>
      <c r="AB7" s="225">
        <f>SUM(AB6:AB6)</f>
        <v>0</v>
      </c>
      <c r="AC7" s="225">
        <f>SUM(AC6:AC6)</f>
        <v>0</v>
      </c>
      <c r="AD7" s="226"/>
      <c r="AE7" s="224"/>
      <c r="AF7" s="227"/>
      <c r="AG7" s="227"/>
      <c r="AH7" s="225">
        <f>SUM(AH6:AH6)</f>
        <v>0</v>
      </c>
      <c r="AI7" s="226"/>
      <c r="AJ7" s="226"/>
      <c r="AK7" s="225">
        <f>SUM(AK6:AK6)</f>
        <v>0</v>
      </c>
      <c r="AL7" s="225">
        <f>SUM(AL6:AL6)</f>
        <v>0</v>
      </c>
      <c r="AM7" s="226"/>
      <c r="AN7" s="224"/>
      <c r="AO7" s="227"/>
      <c r="AP7" s="225">
        <f>SUM(AP6:AP6)</f>
        <v>0</v>
      </c>
      <c r="AQ7" s="226"/>
      <c r="AR7" s="224"/>
    </row>
    <row r="8" spans="1:44" x14ac:dyDescent="0.25">
      <c r="D8" s="112"/>
      <c r="E8" s="112"/>
      <c r="H8" s="112"/>
      <c r="I8" s="112"/>
      <c r="L8" s="112"/>
      <c r="M8" s="112"/>
      <c r="P8" s="112"/>
      <c r="Q8" s="112"/>
      <c r="T8" s="112"/>
      <c r="U8" s="112"/>
      <c r="X8" s="112"/>
      <c r="Y8" s="112"/>
      <c r="AB8" s="112"/>
      <c r="AC8" s="112"/>
      <c r="AF8" s="218"/>
      <c r="AG8" s="218"/>
      <c r="AH8" s="112"/>
      <c r="AK8" s="112"/>
      <c r="AL8" s="112"/>
      <c r="AO8" s="138"/>
      <c r="AP8" s="138"/>
    </row>
    <row r="9" spans="1:44" x14ac:dyDescent="0.25">
      <c r="C9" s="111" t="s">
        <v>277</v>
      </c>
      <c r="D9" s="112"/>
      <c r="E9" s="112"/>
      <c r="H9" s="112"/>
      <c r="I9" s="112"/>
      <c r="L9" s="112"/>
      <c r="M9" s="112"/>
      <c r="P9" s="112"/>
      <c r="Q9" s="112"/>
      <c r="T9" s="112"/>
      <c r="U9" s="112"/>
      <c r="X9" s="112"/>
      <c r="Y9" s="112"/>
      <c r="AB9" s="112"/>
      <c r="AC9" s="112"/>
      <c r="AF9" s="218"/>
      <c r="AG9" s="218"/>
      <c r="AH9" s="112"/>
      <c r="AK9" s="112"/>
      <c r="AL9" s="112"/>
      <c r="AO9" s="138"/>
      <c r="AP9" s="138"/>
      <c r="AR9" s="111"/>
    </row>
    <row r="10" spans="1:44" s="213" customFormat="1" x14ac:dyDescent="0.25">
      <c r="A10" s="211" t="s">
        <v>853</v>
      </c>
      <c r="B10" s="211" t="str">
        <f>MID(A10,14,4)</f>
        <v>5740</v>
      </c>
      <c r="C10" s="211" t="s">
        <v>1821</v>
      </c>
      <c r="D10" s="112">
        <v>100000</v>
      </c>
      <c r="E10" s="112">
        <v>85901</v>
      </c>
      <c r="F10" s="211"/>
      <c r="G10" s="211"/>
      <c r="H10" s="112">
        <v>113500</v>
      </c>
      <c r="I10" s="112">
        <v>124791.53</v>
      </c>
      <c r="J10" s="211"/>
      <c r="K10" s="211"/>
      <c r="L10" s="112">
        <v>135000</v>
      </c>
      <c r="M10" s="112">
        <v>131957.4</v>
      </c>
      <c r="N10" s="211"/>
      <c r="O10" s="211"/>
      <c r="P10" s="112">
        <v>145000</v>
      </c>
      <c r="Q10" s="112">
        <v>148599.63</v>
      </c>
      <c r="R10" s="211"/>
      <c r="S10" s="211"/>
      <c r="T10" s="112">
        <v>145000</v>
      </c>
      <c r="U10" s="112">
        <v>131082.76</v>
      </c>
      <c r="V10" s="211"/>
      <c r="W10" s="211"/>
      <c r="X10" s="112">
        <v>156625</v>
      </c>
      <c r="Y10" s="112">
        <v>116266.14</v>
      </c>
      <c r="Z10" s="211"/>
      <c r="AA10" s="211"/>
      <c r="AB10" s="112">
        <v>150000</v>
      </c>
      <c r="AC10" s="112">
        <v>98402.7</v>
      </c>
      <c r="AD10" s="211"/>
      <c r="AF10" s="163">
        <v>153750</v>
      </c>
      <c r="AG10" s="163">
        <v>153750</v>
      </c>
      <c r="AH10" s="245">
        <v>115213.77</v>
      </c>
      <c r="AI10" s="216">
        <f>(AG10-AB10)/AB10</f>
        <v>2.5000000000000001E-2</v>
      </c>
      <c r="AJ10" s="216"/>
      <c r="AK10" s="112">
        <v>160000</v>
      </c>
      <c r="AL10" s="112">
        <v>130509</v>
      </c>
      <c r="AM10" s="396">
        <f>(AK10-AG10)/AG10</f>
        <v>4.065040650406504E-2</v>
      </c>
      <c r="AN10" s="397"/>
      <c r="AO10" s="163">
        <v>164000</v>
      </c>
      <c r="AP10" s="212">
        <f>AO10-AK10</f>
        <v>4000</v>
      </c>
      <c r="AQ10" s="396">
        <f>(AO10-AK10)/AK10</f>
        <v>2.5000000000000001E-2</v>
      </c>
      <c r="AR10" s="288" t="s">
        <v>1321</v>
      </c>
    </row>
    <row r="11" spans="1:44" s="213" customFormat="1" x14ac:dyDescent="0.25">
      <c r="A11" s="211" t="s">
        <v>854</v>
      </c>
      <c r="B11" s="211" t="str">
        <f>MID(A11,14,4)</f>
        <v>5742</v>
      </c>
      <c r="C11" s="211" t="s">
        <v>1824</v>
      </c>
      <c r="D11" s="112">
        <v>5500</v>
      </c>
      <c r="E11" s="112">
        <v>0</v>
      </c>
      <c r="F11" s="211"/>
      <c r="G11" s="211"/>
      <c r="H11" s="112">
        <v>5500</v>
      </c>
      <c r="I11" s="112">
        <v>0</v>
      </c>
      <c r="J11" s="211"/>
      <c r="K11" s="211"/>
      <c r="L11" s="112">
        <v>5500</v>
      </c>
      <c r="M11" s="112">
        <v>1813.58</v>
      </c>
      <c r="N11" s="211"/>
      <c r="O11" s="211"/>
      <c r="P11" s="112">
        <v>5500</v>
      </c>
      <c r="Q11" s="112">
        <v>0</v>
      </c>
      <c r="R11" s="211"/>
      <c r="S11" s="211"/>
      <c r="T11" s="112">
        <v>5500</v>
      </c>
      <c r="U11" s="112">
        <v>500</v>
      </c>
      <c r="V11" s="211"/>
      <c r="W11" s="211"/>
      <c r="X11" s="112">
        <v>5500</v>
      </c>
      <c r="Y11" s="112">
        <v>64.95</v>
      </c>
      <c r="Z11" s="211"/>
      <c r="AA11" s="211"/>
      <c r="AB11" s="112">
        <v>5500</v>
      </c>
      <c r="AC11" s="112">
        <v>900</v>
      </c>
      <c r="AD11" s="211"/>
      <c r="AF11" s="245">
        <v>5500</v>
      </c>
      <c r="AG11" s="245">
        <v>5500</v>
      </c>
      <c r="AH11" s="245">
        <v>0</v>
      </c>
      <c r="AI11" s="396">
        <f>(AG11-AB11)/AB11</f>
        <v>0</v>
      </c>
      <c r="AJ11" s="216"/>
      <c r="AK11" s="112">
        <v>5500</v>
      </c>
      <c r="AL11" s="112">
        <v>0</v>
      </c>
      <c r="AM11" s="396">
        <f>(AK11-AG11)/AG11</f>
        <v>0</v>
      </c>
      <c r="AN11" s="397"/>
      <c r="AO11" s="163">
        <v>5500</v>
      </c>
      <c r="AP11" s="399">
        <f>AO11-AK11</f>
        <v>0</v>
      </c>
      <c r="AQ11" s="396">
        <f>(AO11-AK11)/AK11</f>
        <v>0</v>
      </c>
      <c r="AR11" s="288"/>
    </row>
    <row r="12" spans="1:44" s="213" customFormat="1" x14ac:dyDescent="0.25">
      <c r="A12" s="211" t="s">
        <v>1213</v>
      </c>
      <c r="B12" s="211" t="str">
        <f>MID(A12,14,4)</f>
        <v>5746</v>
      </c>
      <c r="C12" s="211" t="s">
        <v>1822</v>
      </c>
      <c r="D12" s="112">
        <v>0</v>
      </c>
      <c r="E12" s="112">
        <v>0</v>
      </c>
      <c r="F12" s="211"/>
      <c r="G12" s="211"/>
      <c r="H12" s="112">
        <v>0</v>
      </c>
      <c r="I12" s="112">
        <v>0</v>
      </c>
      <c r="J12" s="211"/>
      <c r="K12" s="211"/>
      <c r="L12" s="112">
        <v>0</v>
      </c>
      <c r="M12" s="112">
        <v>0</v>
      </c>
      <c r="N12" s="211"/>
      <c r="O12" s="211"/>
      <c r="P12" s="112">
        <v>0</v>
      </c>
      <c r="Q12" s="112">
        <v>0</v>
      </c>
      <c r="R12" s="211"/>
      <c r="S12" s="211"/>
      <c r="T12" s="112">
        <v>0</v>
      </c>
      <c r="U12" s="112">
        <v>0</v>
      </c>
      <c r="V12" s="211"/>
      <c r="W12" s="211"/>
      <c r="X12" s="112">
        <v>37410</v>
      </c>
      <c r="Y12" s="112">
        <v>39723</v>
      </c>
      <c r="Z12" s="211"/>
      <c r="AA12" s="211"/>
      <c r="AB12" s="112">
        <v>38000</v>
      </c>
      <c r="AC12" s="112">
        <v>40140</v>
      </c>
      <c r="AD12" s="211"/>
      <c r="AF12" s="245">
        <v>38950</v>
      </c>
      <c r="AG12" s="245">
        <v>38950</v>
      </c>
      <c r="AH12" s="245">
        <v>40304</v>
      </c>
      <c r="AI12" s="396">
        <f>(AG12-AB12)/AB12</f>
        <v>2.5000000000000001E-2</v>
      </c>
      <c r="AJ12" s="216"/>
      <c r="AK12" s="112">
        <v>40000</v>
      </c>
      <c r="AL12" s="112">
        <v>40583</v>
      </c>
      <c r="AM12" s="396">
        <f>(AK12-AG12)/AG12</f>
        <v>2.6957637997432605E-2</v>
      </c>
      <c r="AN12" s="397"/>
      <c r="AO12" s="163">
        <v>41000</v>
      </c>
      <c r="AP12" s="399">
        <f>AO12-AK12</f>
        <v>1000</v>
      </c>
      <c r="AQ12" s="396">
        <f>(AO12-AK12)/AK12</f>
        <v>2.5000000000000001E-2</v>
      </c>
      <c r="AR12" s="288" t="s">
        <v>1322</v>
      </c>
    </row>
    <row r="13" spans="1:44" s="213" customFormat="1" x14ac:dyDescent="0.25">
      <c r="A13" s="211" t="s">
        <v>1214</v>
      </c>
      <c r="B13" s="211" t="str">
        <f>MID(A13,14,4)</f>
        <v>5747</v>
      </c>
      <c r="C13" s="211" t="s">
        <v>1823</v>
      </c>
      <c r="D13" s="112">
        <v>0</v>
      </c>
      <c r="E13" s="112">
        <v>0</v>
      </c>
      <c r="F13" s="211"/>
      <c r="G13" s="211"/>
      <c r="H13" s="112">
        <v>0</v>
      </c>
      <c r="I13" s="112">
        <v>0</v>
      </c>
      <c r="J13" s="211"/>
      <c r="K13" s="211"/>
      <c r="L13" s="112">
        <v>0</v>
      </c>
      <c r="M13" s="112">
        <v>0</v>
      </c>
      <c r="N13" s="211"/>
      <c r="O13" s="211"/>
      <c r="P13" s="112">
        <v>0</v>
      </c>
      <c r="Q13" s="112">
        <v>0</v>
      </c>
      <c r="R13" s="211"/>
      <c r="S13" s="211"/>
      <c r="T13" s="112">
        <v>0</v>
      </c>
      <c r="U13" s="112">
        <v>0</v>
      </c>
      <c r="V13" s="211"/>
      <c r="W13" s="211"/>
      <c r="X13" s="112">
        <v>7274</v>
      </c>
      <c r="Y13" s="112">
        <v>7274</v>
      </c>
      <c r="Z13" s="211"/>
      <c r="AA13" s="211"/>
      <c r="AB13" s="112">
        <v>7500</v>
      </c>
      <c r="AC13" s="112">
        <v>7346</v>
      </c>
      <c r="AD13" s="211"/>
      <c r="AF13" s="245">
        <v>7500</v>
      </c>
      <c r="AG13" s="245">
        <v>7500</v>
      </c>
      <c r="AH13" s="245">
        <v>6029</v>
      </c>
      <c r="AI13" s="396">
        <f>(AG13-AB13)/AB13</f>
        <v>0</v>
      </c>
      <c r="AJ13" s="216"/>
      <c r="AK13" s="112">
        <v>7500</v>
      </c>
      <c r="AL13" s="112">
        <v>0</v>
      </c>
      <c r="AM13" s="396">
        <f>(AK13-AG13)/AG13</f>
        <v>0</v>
      </c>
      <c r="AN13" s="397"/>
      <c r="AO13" s="163">
        <v>7500</v>
      </c>
      <c r="AP13" s="399">
        <f>AO13-AK13</f>
        <v>0</v>
      </c>
      <c r="AQ13" s="396">
        <f>(AO13-AK13)/AK13</f>
        <v>0</v>
      </c>
      <c r="AR13" s="400" t="s">
        <v>1221</v>
      </c>
    </row>
    <row r="14" spans="1:44" s="114" customFormat="1" x14ac:dyDescent="0.25">
      <c r="A14" s="219"/>
      <c r="B14" s="219"/>
      <c r="C14" s="219" t="s">
        <v>279</v>
      </c>
      <c r="D14" s="220">
        <f>SUM(D10:D13)</f>
        <v>105500</v>
      </c>
      <c r="E14" s="220">
        <f>SUM(E10:E13)</f>
        <v>85901</v>
      </c>
      <c r="F14" s="221">
        <v>0.1807</v>
      </c>
      <c r="G14" s="219"/>
      <c r="H14" s="220">
        <f>SUM(H10:H13)</f>
        <v>119000</v>
      </c>
      <c r="I14" s="220">
        <f>SUM(I10:I13)</f>
        <v>124791.53</v>
      </c>
      <c r="J14" s="221">
        <v>0.1807</v>
      </c>
      <c r="K14" s="219"/>
      <c r="L14" s="220">
        <f>SUM(L10:L13)</f>
        <v>140500</v>
      </c>
      <c r="M14" s="220">
        <f>SUM(M10:M13)</f>
        <v>133770.97999999998</v>
      </c>
      <c r="N14" s="221">
        <v>0.1807</v>
      </c>
      <c r="O14" s="219"/>
      <c r="P14" s="220">
        <f>SUM(P10:P13)</f>
        <v>150500</v>
      </c>
      <c r="Q14" s="220">
        <f>SUM(Q10:Q13)</f>
        <v>148599.63</v>
      </c>
      <c r="R14" s="221">
        <v>0.1807</v>
      </c>
      <c r="S14" s="219"/>
      <c r="T14" s="220">
        <f>SUM(T10:T13)</f>
        <v>150500</v>
      </c>
      <c r="U14" s="220">
        <f>SUM(U10:U13)</f>
        <v>131582.76</v>
      </c>
      <c r="V14" s="221">
        <v>0.1807</v>
      </c>
      <c r="W14" s="219"/>
      <c r="X14" s="220">
        <f>SUM(X10:X13)</f>
        <v>206809</v>
      </c>
      <c r="Y14" s="220">
        <f>SUM(Y10:Y13)</f>
        <v>163328.09</v>
      </c>
      <c r="Z14" s="222">
        <f>(X14-T14)/T14</f>
        <v>0.37414617940199335</v>
      </c>
      <c r="AA14" s="219"/>
      <c r="AB14" s="220">
        <f>SUM(AB10:AB13)</f>
        <v>201000</v>
      </c>
      <c r="AC14" s="220">
        <f>SUM(AC10:AC13)</f>
        <v>146788.70000000001</v>
      </c>
      <c r="AD14" s="221">
        <f>(AB14-X14)/X14</f>
        <v>-2.8088719543153343E-2</v>
      </c>
      <c r="AE14" s="219"/>
      <c r="AF14" s="220">
        <f>SUM(AF10:AF13)</f>
        <v>205700</v>
      </c>
      <c r="AG14" s="220">
        <f>SUM(AG10:AG13)</f>
        <v>205700</v>
      </c>
      <c r="AH14" s="220">
        <f>SUM(AH10:AH13)</f>
        <v>161546.77000000002</v>
      </c>
      <c r="AI14" s="221">
        <f>(AG14-AB14)/AB14</f>
        <v>2.3383084577114428E-2</v>
      </c>
      <c r="AJ14" s="221"/>
      <c r="AK14" s="401">
        <f>SUM(AK10:AK13)</f>
        <v>213000</v>
      </c>
      <c r="AL14" s="401">
        <f>SUM(AL10:AL13)</f>
        <v>171092</v>
      </c>
      <c r="AM14" s="221">
        <f>(AK14-AG14)/AG14</f>
        <v>3.5488575595527469E-2</v>
      </c>
      <c r="AN14" s="219"/>
      <c r="AO14" s="223">
        <f>SUM(AO10:AO13)</f>
        <v>218000</v>
      </c>
      <c r="AP14" s="220">
        <f>SUM(AP10:AP13)</f>
        <v>5000</v>
      </c>
      <c r="AQ14" s="221">
        <f>(AO14-AK14)/AK14</f>
        <v>2.3474178403755867E-2</v>
      </c>
      <c r="AR14" s="219"/>
    </row>
    <row r="15" spans="1:44" s="211" customFormat="1" x14ac:dyDescent="0.25">
      <c r="D15" s="112"/>
      <c r="E15" s="112"/>
      <c r="F15" s="216"/>
      <c r="G15" s="213"/>
      <c r="H15" s="112"/>
      <c r="I15" s="112"/>
      <c r="J15" s="216"/>
      <c r="K15" s="213"/>
      <c r="L15" s="112"/>
      <c r="M15" s="112"/>
      <c r="N15" s="216"/>
      <c r="O15" s="213"/>
      <c r="P15" s="112"/>
      <c r="Q15" s="112"/>
      <c r="R15" s="216"/>
      <c r="S15" s="213"/>
      <c r="T15" s="112"/>
      <c r="U15" s="112"/>
      <c r="V15" s="216"/>
      <c r="W15" s="213"/>
      <c r="X15" s="112"/>
      <c r="Y15" s="112"/>
      <c r="Z15" s="216"/>
      <c r="AA15" s="213"/>
      <c r="AB15" s="112"/>
      <c r="AC15" s="112"/>
      <c r="AD15" s="216"/>
      <c r="AE15" s="213"/>
      <c r="AF15" s="112"/>
      <c r="AG15" s="112"/>
      <c r="AH15" s="112"/>
      <c r="AI15" s="396"/>
      <c r="AJ15" s="216"/>
      <c r="AK15" s="112"/>
      <c r="AL15" s="112"/>
      <c r="AM15" s="396"/>
      <c r="AN15" s="397"/>
      <c r="AO15" s="212"/>
      <c r="AP15" s="212"/>
      <c r="AQ15" s="396"/>
    </row>
    <row r="16" spans="1:44" s="114" customFormat="1" ht="12.75" x14ac:dyDescent="0.2">
      <c r="A16" s="228"/>
      <c r="B16" s="228"/>
      <c r="C16" s="233" t="s">
        <v>280</v>
      </c>
      <c r="D16" s="230">
        <f>D7+D14</f>
        <v>105500</v>
      </c>
      <c r="E16" s="230">
        <f>E7+E14</f>
        <v>85901</v>
      </c>
      <c r="F16" s="231">
        <v>0.1807</v>
      </c>
      <c r="G16" s="228"/>
      <c r="H16" s="230">
        <f>H7+H14</f>
        <v>119000</v>
      </c>
      <c r="I16" s="230">
        <f>I7+I14</f>
        <v>124791.53</v>
      </c>
      <c r="J16" s="231">
        <v>0.1807</v>
      </c>
      <c r="K16" s="228"/>
      <c r="L16" s="230">
        <f>L7+L14</f>
        <v>140500</v>
      </c>
      <c r="M16" s="230">
        <f>M7+M14</f>
        <v>133770.97999999998</v>
      </c>
      <c r="N16" s="231">
        <v>0.1807</v>
      </c>
      <c r="O16" s="228"/>
      <c r="P16" s="230">
        <f>P7+P14</f>
        <v>150500</v>
      </c>
      <c r="Q16" s="230">
        <f>Q7+Q14</f>
        <v>148599.63</v>
      </c>
      <c r="R16" s="231">
        <v>0.1807</v>
      </c>
      <c r="S16" s="228"/>
      <c r="T16" s="230">
        <f>T7+T14</f>
        <v>150500</v>
      </c>
      <c r="U16" s="230">
        <f>U7+U14</f>
        <v>131582.76</v>
      </c>
      <c r="V16" s="231">
        <v>0.1807</v>
      </c>
      <c r="W16" s="228"/>
      <c r="X16" s="230">
        <f>X7+X14</f>
        <v>206809</v>
      </c>
      <c r="Y16" s="230">
        <f>Y7+Y14</f>
        <v>163328.09</v>
      </c>
      <c r="Z16" s="231">
        <f>(X16-T16)/T16</f>
        <v>0.37414617940199335</v>
      </c>
      <c r="AA16" s="228"/>
      <c r="AB16" s="230">
        <f>AB7+AB14</f>
        <v>201000</v>
      </c>
      <c r="AC16" s="230">
        <f>AC7+AC14</f>
        <v>146788.70000000001</v>
      </c>
      <c r="AD16" s="231">
        <f>(AB16-X16)/X16</f>
        <v>-2.8088719543153343E-2</v>
      </c>
      <c r="AE16" s="228"/>
      <c r="AF16" s="230">
        <f>AF7+AF14</f>
        <v>205700</v>
      </c>
      <c r="AG16" s="230">
        <f>AG7+AG14</f>
        <v>205700</v>
      </c>
      <c r="AH16" s="230">
        <f>AH7+AH14</f>
        <v>161546.77000000002</v>
      </c>
      <c r="AI16" s="231">
        <f>(AG16-AB16)/AB16</f>
        <v>2.3383084577114428E-2</v>
      </c>
      <c r="AJ16" s="231"/>
      <c r="AK16" s="402">
        <f>AK7+AK14</f>
        <v>213000</v>
      </c>
      <c r="AL16" s="402">
        <f>AL7+AL14</f>
        <v>171092</v>
      </c>
      <c r="AM16" s="231">
        <f>(AK16-AG16)/AG16</f>
        <v>3.5488575595527469E-2</v>
      </c>
      <c r="AN16" s="228"/>
      <c r="AO16" s="232">
        <f>AO7+AO14</f>
        <v>218000</v>
      </c>
      <c r="AP16" s="232">
        <f>AP7+AP14</f>
        <v>5000</v>
      </c>
      <c r="AQ16" s="231">
        <f>(AO16-AK16)/AK16</f>
        <v>2.3474178403755867E-2</v>
      </c>
      <c r="AR16" s="233"/>
    </row>
    <row r="17" spans="3:42" x14ac:dyDescent="0.25">
      <c r="D17" s="120"/>
      <c r="E17" s="79"/>
      <c r="H17" s="120"/>
      <c r="I17" s="79"/>
      <c r="L17" s="120"/>
      <c r="M17" s="79"/>
      <c r="P17" s="120"/>
      <c r="Q17" s="79"/>
      <c r="T17" s="120"/>
      <c r="U17" s="79"/>
      <c r="X17" s="120"/>
      <c r="Y17" s="79"/>
      <c r="AB17" s="120"/>
      <c r="AC17" s="79"/>
      <c r="AF17" s="120"/>
      <c r="AG17" s="120"/>
      <c r="AH17" s="79"/>
      <c r="AK17" s="403"/>
      <c r="AL17" s="79"/>
    </row>
    <row r="18" spans="3:42" s="111" customFormat="1" ht="14.25" thickBot="1" x14ac:dyDescent="0.3">
      <c r="C18" s="111" t="s">
        <v>281</v>
      </c>
      <c r="D18" s="122"/>
      <c r="E18" s="121">
        <f>D16-E16</f>
        <v>19599</v>
      </c>
      <c r="F18" s="211"/>
      <c r="H18" s="122"/>
      <c r="I18" s="121">
        <f>H16-I16</f>
        <v>-5791.5299999999988</v>
      </c>
      <c r="J18" s="211"/>
      <c r="L18" s="122"/>
      <c r="M18" s="121">
        <f>L16-M16</f>
        <v>6729.0200000000186</v>
      </c>
      <c r="N18" s="211"/>
      <c r="P18" s="122"/>
      <c r="Q18" s="121">
        <f>P16-Q16</f>
        <v>1900.3699999999953</v>
      </c>
      <c r="R18" s="211"/>
      <c r="T18" s="122"/>
      <c r="U18" s="121">
        <f>T16-U16</f>
        <v>18917.239999999991</v>
      </c>
      <c r="V18" s="161"/>
      <c r="X18" s="122"/>
      <c r="Y18" s="121">
        <f>X16-Y16</f>
        <v>43480.91</v>
      </c>
      <c r="AB18" s="122"/>
      <c r="AC18" s="121">
        <f>AB16-AC16</f>
        <v>54211.299999999988</v>
      </c>
      <c r="AF18" s="122"/>
      <c r="AG18" s="122"/>
      <c r="AH18" s="121">
        <f>AG16-AH16</f>
        <v>44153.229999999981</v>
      </c>
      <c r="AK18" s="122"/>
      <c r="AL18" s="121">
        <f>AK16-AL16</f>
        <v>41908</v>
      </c>
      <c r="AO18" s="123"/>
      <c r="AP18" s="123"/>
    </row>
    <row r="19" spans="3:42" ht="14.25" thickTop="1" x14ac:dyDescent="0.25">
      <c r="D19" s="120"/>
      <c r="H19" s="120"/>
      <c r="L19" s="120"/>
      <c r="P19" s="120"/>
      <c r="T19" s="120"/>
      <c r="X19" s="120"/>
      <c r="AB19" s="120"/>
      <c r="AF19" s="120"/>
      <c r="AG19" s="120"/>
      <c r="AK19" s="403"/>
    </row>
    <row r="20" spans="3:42" x14ac:dyDescent="0.25">
      <c r="D20" s="120"/>
      <c r="H20" s="120"/>
      <c r="L20" s="120"/>
      <c r="P20" s="120"/>
      <c r="T20" s="120"/>
      <c r="X20" s="120"/>
      <c r="AB20" s="120"/>
      <c r="AF20" s="120"/>
      <c r="AG20" s="120"/>
      <c r="AK20" s="403"/>
    </row>
    <row r="21" spans="3:42" x14ac:dyDescent="0.25">
      <c r="D21" s="120"/>
      <c r="H21" s="120"/>
      <c r="L21" s="120"/>
      <c r="P21" s="120"/>
      <c r="T21" s="120"/>
      <c r="X21" s="120"/>
      <c r="AB21" s="120"/>
      <c r="AF21" s="120"/>
      <c r="AG21" s="120"/>
      <c r="AK21" s="403"/>
    </row>
    <row r="22" spans="3:42" x14ac:dyDescent="0.25">
      <c r="D22" s="120"/>
      <c r="H22" s="120"/>
      <c r="L22" s="120"/>
      <c r="P22" s="120"/>
      <c r="T22" s="120"/>
      <c r="X22" s="120"/>
      <c r="AB22" s="120"/>
      <c r="AF22" s="120"/>
      <c r="AG22" s="120"/>
      <c r="AK22" s="403"/>
    </row>
    <row r="23" spans="3:42" x14ac:dyDescent="0.25">
      <c r="D23" s="120"/>
      <c r="H23" s="120"/>
      <c r="L23" s="120"/>
      <c r="P23" s="120"/>
      <c r="T23" s="120"/>
      <c r="X23" s="120"/>
      <c r="AB23" s="120"/>
      <c r="AF23" s="120"/>
      <c r="AG23" s="120"/>
      <c r="AK23" s="403"/>
    </row>
    <row r="24" spans="3:42" x14ac:dyDescent="0.25">
      <c r="D24" s="120"/>
      <c r="H24" s="120"/>
      <c r="L24" s="120"/>
      <c r="P24" s="120"/>
      <c r="T24" s="120"/>
      <c r="X24" s="120"/>
      <c r="AB24" s="120"/>
      <c r="AF24" s="120"/>
      <c r="AG24" s="120"/>
      <c r="AK24" s="403"/>
    </row>
    <row r="25" spans="3:42" x14ac:dyDescent="0.25">
      <c r="D25" s="120"/>
      <c r="H25" s="120"/>
      <c r="L25" s="120"/>
      <c r="P25" s="120"/>
      <c r="T25" s="120"/>
      <c r="X25" s="120"/>
      <c r="AB25" s="120"/>
      <c r="AF25" s="120"/>
      <c r="AG25" s="120"/>
      <c r="AK25" s="403"/>
    </row>
    <row r="26" spans="3:42" x14ac:dyDescent="0.25">
      <c r="D26" s="120"/>
      <c r="H26" s="120"/>
      <c r="L26" s="120"/>
      <c r="P26" s="120"/>
      <c r="T26" s="120"/>
      <c r="X26" s="120"/>
      <c r="AB26" s="120"/>
      <c r="AF26" s="120"/>
      <c r="AG26" s="120"/>
      <c r="AK26" s="403"/>
    </row>
    <row r="27" spans="3:42" x14ac:dyDescent="0.25">
      <c r="D27" s="120"/>
      <c r="H27" s="120"/>
      <c r="L27" s="120"/>
      <c r="P27" s="120"/>
      <c r="T27" s="120"/>
      <c r="X27" s="120"/>
      <c r="AB27" s="120"/>
      <c r="AF27" s="120"/>
      <c r="AG27" s="120"/>
      <c r="AK27" s="403"/>
    </row>
    <row r="28" spans="3:42" x14ac:dyDescent="0.25">
      <c r="D28" s="120"/>
      <c r="H28" s="120"/>
      <c r="L28" s="120"/>
      <c r="P28" s="120"/>
      <c r="T28" s="120"/>
      <c r="X28" s="120"/>
      <c r="AB28" s="120"/>
      <c r="AF28" s="120"/>
      <c r="AG28" s="120"/>
      <c r="AK28" s="403"/>
    </row>
    <row r="29" spans="3:42" x14ac:dyDescent="0.25">
      <c r="D29" s="120"/>
      <c r="H29" s="120"/>
      <c r="L29" s="120"/>
      <c r="P29" s="120"/>
      <c r="T29" s="120"/>
      <c r="X29" s="120"/>
      <c r="AB29" s="120"/>
      <c r="AF29" s="120"/>
      <c r="AG29" s="120"/>
      <c r="AK29" s="403"/>
    </row>
    <row r="30" spans="3:42" x14ac:dyDescent="0.25">
      <c r="D30" s="120"/>
      <c r="H30" s="120"/>
      <c r="L30" s="120"/>
      <c r="P30" s="120"/>
      <c r="T30" s="120"/>
      <c r="X30" s="120"/>
      <c r="AB30" s="120"/>
      <c r="AF30" s="120"/>
      <c r="AG30" s="120"/>
      <c r="AK30" s="403"/>
    </row>
    <row r="31" spans="3:42" x14ac:dyDescent="0.25">
      <c r="D31" s="120"/>
      <c r="H31" s="120"/>
      <c r="L31" s="120"/>
      <c r="P31" s="120"/>
      <c r="T31" s="120"/>
      <c r="X31" s="120"/>
      <c r="AB31" s="120"/>
      <c r="AF31" s="120"/>
      <c r="AG31" s="120"/>
      <c r="AK31" s="403"/>
    </row>
    <row r="32" spans="3:42" x14ac:dyDescent="0.25">
      <c r="D32" s="120"/>
      <c r="H32" s="120"/>
      <c r="L32" s="120"/>
      <c r="P32" s="120"/>
      <c r="T32" s="120"/>
      <c r="X32" s="120"/>
      <c r="AB32" s="120"/>
      <c r="AF32" s="120"/>
      <c r="AG32" s="120"/>
      <c r="AK32" s="403"/>
    </row>
    <row r="33" spans="4:37" x14ac:dyDescent="0.25">
      <c r="D33" s="120"/>
      <c r="H33" s="120"/>
      <c r="L33" s="120"/>
      <c r="P33" s="120"/>
      <c r="T33" s="120"/>
      <c r="X33" s="120"/>
      <c r="AB33" s="120"/>
      <c r="AF33" s="120"/>
      <c r="AG33" s="120"/>
      <c r="AK33" s="403"/>
    </row>
    <row r="34" spans="4:37" x14ac:dyDescent="0.25">
      <c r="D34" s="120"/>
      <c r="H34" s="120"/>
      <c r="L34" s="120"/>
      <c r="P34" s="120"/>
      <c r="T34" s="120"/>
      <c r="X34" s="120"/>
      <c r="AB34" s="120"/>
      <c r="AF34" s="120"/>
      <c r="AG34" s="120"/>
      <c r="AK34" s="403"/>
    </row>
    <row r="35" spans="4:37" x14ac:dyDescent="0.25">
      <c r="D35" s="120"/>
      <c r="H35" s="120"/>
      <c r="L35" s="120"/>
      <c r="P35" s="120"/>
      <c r="T35" s="120"/>
      <c r="X35" s="120"/>
      <c r="AB35" s="120"/>
      <c r="AF35" s="120"/>
      <c r="AG35" s="120"/>
      <c r="AK35" s="403"/>
    </row>
    <row r="36" spans="4:37" x14ac:dyDescent="0.25">
      <c r="D36" s="120"/>
      <c r="H36" s="120"/>
      <c r="L36" s="120"/>
      <c r="P36" s="120"/>
      <c r="T36" s="120"/>
      <c r="X36" s="120"/>
      <c r="AB36" s="120"/>
      <c r="AF36" s="120"/>
      <c r="AG36" s="120"/>
      <c r="AK36" s="403"/>
    </row>
    <row r="37" spans="4:37" x14ac:dyDescent="0.25">
      <c r="D37" s="120"/>
      <c r="H37" s="120"/>
      <c r="L37" s="120"/>
      <c r="P37" s="120"/>
      <c r="T37" s="12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403" t="s">
        <v>1511</v>
      </c>
      <c r="E115" s="211">
        <v>30.35</v>
      </c>
      <c r="F115" s="211">
        <v>25</v>
      </c>
      <c r="G115" s="394"/>
      <c r="H115" s="403"/>
      <c r="I115" s="394"/>
      <c r="J115" s="394"/>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120"/>
      <c r="H122" s="120"/>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sheetData>
  <sheetProtection password="CC2B" sheet="1" objects="1" scenarios="1"/>
  <sortState xmlns:xlrd2="http://schemas.microsoft.com/office/spreadsheetml/2017/richdata2" ref="A10:AR13">
    <sortCondition ref="B10:B13"/>
  </sortState>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8" orientation="landscape" r:id="rId1"/>
  <headerFooter alignWithMargins="0">
    <oddHeader>&amp;C&amp;"-,Bold"Proposed Budget &amp; Analysis Report for FY20</oddHeader>
    <oddFooter>&amp;A</oddFoot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Q125"/>
  <sheetViews>
    <sheetView zoomScaleNormal="100" workbookViewId="0"/>
  </sheetViews>
  <sheetFormatPr defaultRowHeight="13.5" x14ac:dyDescent="0.25"/>
  <cols>
    <col min="1" max="1" width="13.140625" style="27" bestFit="1" customWidth="1"/>
    <col min="2" max="2" width="4" style="27" bestFit="1" customWidth="1"/>
    <col min="3" max="3" width="32.140625" style="27" customWidth="1"/>
    <col min="4" max="4" width="14.28515625" style="57" hidden="1" customWidth="1"/>
    <col min="5" max="5" width="14.28515625" style="27" hidden="1" customWidth="1"/>
    <col min="6" max="6" width="12.28515625" style="27" hidden="1" customWidth="1"/>
    <col min="7" max="7" width="9.7109375" style="27" hidden="1" customWidth="1"/>
    <col min="8" max="8" width="14.28515625" style="57" hidden="1" customWidth="1"/>
    <col min="9" max="9" width="14.28515625" style="27" hidden="1" customWidth="1"/>
    <col min="10" max="10" width="12.28515625" style="27" hidden="1" customWidth="1"/>
    <col min="11" max="11" width="9.7109375" style="27" hidden="1" customWidth="1"/>
    <col min="12" max="12" width="16" style="57" hidden="1" customWidth="1"/>
    <col min="13" max="13" width="14.28515625" style="27" hidden="1" customWidth="1"/>
    <col min="14" max="14" width="13.28515625" style="27" hidden="1" customWidth="1"/>
    <col min="15" max="15" width="9.7109375" style="27" hidden="1" customWidth="1"/>
    <col min="16" max="16" width="2.42578125" style="27" hidden="1" customWidth="1"/>
    <col min="17" max="17" width="14.5703125" style="57" hidden="1" customWidth="1"/>
    <col min="18" max="18" width="14.28515625" style="27" hidden="1" customWidth="1"/>
    <col min="19" max="19" width="13.28515625" style="27" hidden="1" customWidth="1"/>
    <col min="20" max="20" width="9.7109375" style="27" hidden="1" customWidth="1"/>
    <col min="21" max="21" width="2.28515625" style="27" hidden="1" customWidth="1"/>
    <col min="22" max="22" width="14.7109375" style="57" hidden="1" customWidth="1"/>
    <col min="23" max="23" width="14.28515625" style="57" hidden="1" customWidth="1"/>
    <col min="24" max="24" width="14.28515625" style="27" hidden="1" customWidth="1"/>
    <col min="25" max="25" width="13.5703125" style="27" hidden="1" customWidth="1"/>
    <col min="26" max="26" width="9.7109375" style="27" hidden="1" customWidth="1"/>
    <col min="27" max="27" width="6.140625" style="27" hidden="1" customWidth="1"/>
    <col min="28" max="28" width="15.28515625" style="57" bestFit="1" customWidth="1"/>
    <col min="29" max="29" width="15.28515625" style="27" customWidth="1"/>
    <col min="30" max="30" width="11.140625" style="27" bestFit="1" customWidth="1"/>
    <col min="31" max="31" width="7.5703125" style="27" hidden="1" customWidth="1"/>
    <col min="32" max="32" width="2.28515625" style="27" customWidth="1"/>
    <col min="33" max="33" width="15.28515625" style="57" bestFit="1" customWidth="1"/>
    <col min="34" max="34" width="16.140625" style="27" customWidth="1"/>
    <col min="35" max="35" width="12.7109375" style="27" customWidth="1"/>
    <col min="36" max="36" width="7.5703125" style="27" hidden="1" customWidth="1"/>
    <col min="37" max="37" width="15" style="27" hidden="1" customWidth="1"/>
    <col min="38" max="38" width="11.140625" style="27" hidden="1" customWidth="1"/>
    <col min="39" max="39" width="9" style="27" hidden="1" customWidth="1"/>
    <col min="40" max="40" width="1.85546875" style="27" hidden="1" customWidth="1"/>
    <col min="41" max="41" width="14.28515625" style="27" hidden="1" customWidth="1"/>
    <col min="42" max="42" width="11.140625" style="27" hidden="1" customWidth="1"/>
    <col min="43" max="43" width="9" style="27" hidden="1" customWidth="1"/>
    <col min="44" max="16384" width="9.140625" style="27"/>
  </cols>
  <sheetData>
    <row r="1" spans="1:43" ht="28.5" customHeight="1" x14ac:dyDescent="0.25">
      <c r="A1" s="161"/>
      <c r="B1" s="350" t="s">
        <v>2168</v>
      </c>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26"/>
      <c r="AO1" s="350"/>
      <c r="AP1" s="350"/>
      <c r="AQ1" s="350"/>
    </row>
    <row r="2" spans="1:43" s="28" customFormat="1" ht="12.75" x14ac:dyDescent="0.2">
      <c r="B2" s="823"/>
      <c r="C2" s="824"/>
      <c r="D2" s="814" t="s">
        <v>1518</v>
      </c>
      <c r="E2" s="815"/>
      <c r="F2" s="815"/>
      <c r="G2" s="816"/>
      <c r="H2" s="814" t="s">
        <v>855</v>
      </c>
      <c r="I2" s="815"/>
      <c r="J2" s="815"/>
      <c r="K2" s="816"/>
      <c r="L2" s="814" t="s">
        <v>979</v>
      </c>
      <c r="M2" s="815"/>
      <c r="N2" s="815"/>
      <c r="O2" s="816"/>
      <c r="Q2" s="814" t="s">
        <v>1125</v>
      </c>
      <c r="R2" s="815"/>
      <c r="S2" s="815"/>
      <c r="T2" s="816"/>
      <c r="V2" s="426"/>
      <c r="W2" s="828" t="s">
        <v>1256</v>
      </c>
      <c r="X2" s="829"/>
      <c r="Y2" s="829"/>
      <c r="Z2" s="830"/>
      <c r="AB2" s="820" t="s">
        <v>1406</v>
      </c>
      <c r="AC2" s="821"/>
      <c r="AD2" s="822"/>
      <c r="AG2" s="820" t="s">
        <v>1919</v>
      </c>
      <c r="AH2" s="821"/>
      <c r="AI2" s="822"/>
      <c r="AK2" s="825" t="s">
        <v>116</v>
      </c>
      <c r="AL2" s="826"/>
      <c r="AM2" s="827"/>
      <c r="AO2" s="817" t="s">
        <v>1517</v>
      </c>
      <c r="AP2" s="818"/>
      <c r="AQ2" s="819"/>
    </row>
    <row r="3" spans="1:43" s="28" customFormat="1" ht="26.25" x14ac:dyDescent="0.25">
      <c r="B3" s="30"/>
      <c r="C3" s="31" t="s">
        <v>117</v>
      </c>
      <c r="D3" s="32" t="s">
        <v>98</v>
      </c>
      <c r="E3" s="33" t="s">
        <v>27</v>
      </c>
      <c r="F3" s="33" t="s">
        <v>118</v>
      </c>
      <c r="G3" s="34" t="s">
        <v>119</v>
      </c>
      <c r="H3" s="32" t="s">
        <v>98</v>
      </c>
      <c r="I3" s="33" t="s">
        <v>27</v>
      </c>
      <c r="J3" s="33" t="s">
        <v>118</v>
      </c>
      <c r="K3" s="34" t="s">
        <v>119</v>
      </c>
      <c r="L3" s="32" t="s">
        <v>98</v>
      </c>
      <c r="M3" s="33" t="s">
        <v>27</v>
      </c>
      <c r="N3" s="33" t="s">
        <v>118</v>
      </c>
      <c r="O3" s="34" t="s">
        <v>119</v>
      </c>
      <c r="Q3" s="32" t="s">
        <v>98</v>
      </c>
      <c r="R3" s="33" t="s">
        <v>990</v>
      </c>
      <c r="S3" s="33" t="s">
        <v>118</v>
      </c>
      <c r="T3" s="34" t="s">
        <v>119</v>
      </c>
      <c r="V3" s="32" t="s">
        <v>98</v>
      </c>
      <c r="W3" s="391" t="s">
        <v>1369</v>
      </c>
      <c r="X3" s="424" t="s">
        <v>27</v>
      </c>
      <c r="Y3" s="33" t="s">
        <v>118</v>
      </c>
      <c r="Z3" s="34" t="s">
        <v>119</v>
      </c>
      <c r="AA3" s="507" t="s">
        <v>1969</v>
      </c>
      <c r="AB3" s="318" t="s">
        <v>98</v>
      </c>
      <c r="AC3" s="35" t="s">
        <v>120</v>
      </c>
      <c r="AD3" s="36" t="s">
        <v>121</v>
      </c>
      <c r="AE3" s="507" t="s">
        <v>1969</v>
      </c>
      <c r="AF3" s="788"/>
      <c r="AG3" s="318" t="s">
        <v>98</v>
      </c>
      <c r="AH3" s="35" t="s">
        <v>120</v>
      </c>
      <c r="AI3" s="36" t="s">
        <v>121</v>
      </c>
      <c r="AJ3" s="507" t="s">
        <v>1969</v>
      </c>
      <c r="AK3" s="37" t="s">
        <v>120</v>
      </c>
      <c r="AL3" s="38" t="s">
        <v>121</v>
      </c>
      <c r="AM3" s="39" t="s">
        <v>122</v>
      </c>
      <c r="AO3" s="433" t="s">
        <v>120</v>
      </c>
      <c r="AP3" s="434" t="s">
        <v>121</v>
      </c>
      <c r="AQ3" s="435" t="s">
        <v>122</v>
      </c>
    </row>
    <row r="4" spans="1:43" ht="19.5" customHeight="1" x14ac:dyDescent="0.3">
      <c r="A4" s="27" t="s">
        <v>1019</v>
      </c>
      <c r="B4" s="40" t="s">
        <v>123</v>
      </c>
      <c r="C4" s="45" t="s">
        <v>1947</v>
      </c>
      <c r="D4" s="41">
        <v>100</v>
      </c>
      <c r="E4" s="41">
        <v>100</v>
      </c>
      <c r="F4" s="42">
        <v>0</v>
      </c>
      <c r="G4" s="396">
        <v>0</v>
      </c>
      <c r="H4" s="41">
        <v>100</v>
      </c>
      <c r="I4" s="41">
        <v>100</v>
      </c>
      <c r="J4" s="42">
        <v>0</v>
      </c>
      <c r="K4" s="80">
        <v>0</v>
      </c>
      <c r="L4" s="41">
        <v>100</v>
      </c>
      <c r="M4" s="41">
        <v>100</v>
      </c>
      <c r="N4" s="42">
        <v>0</v>
      </c>
      <c r="O4" s="80">
        <v>0</v>
      </c>
      <c r="P4" s="216"/>
      <c r="Q4" s="41">
        <v>100</v>
      </c>
      <c r="R4" s="41">
        <v>100</v>
      </c>
      <c r="S4" s="42">
        <v>0</v>
      </c>
      <c r="T4" s="80">
        <f t="shared" ref="T4:T24" si="0">(Q4-L4)/L4</f>
        <v>0</v>
      </c>
      <c r="U4" s="216"/>
      <c r="V4" s="41">
        <f>'114-Moderator'!AF13</f>
        <v>100</v>
      </c>
      <c r="W4" s="425">
        <f>'114-Moderator'!AG13</f>
        <v>100</v>
      </c>
      <c r="X4" s="41">
        <f>'114-Moderator'!AH13</f>
        <v>100</v>
      </c>
      <c r="Y4" s="42">
        <f>W4-X4</f>
        <v>0</v>
      </c>
      <c r="Z4" s="281">
        <f>(W4-Q4)/Q4</f>
        <v>0</v>
      </c>
      <c r="AA4" s="80"/>
      <c r="AB4" s="43">
        <f>'114-Moderator'!AK13</f>
        <v>100</v>
      </c>
      <c r="AC4" s="41">
        <f>AB4-W4</f>
        <v>0</v>
      </c>
      <c r="AD4" s="89">
        <f>AC4/W4</f>
        <v>0</v>
      </c>
      <c r="AE4" s="506" t="e">
        <f t="shared" ref="AE4:AE24" ca="1" si="1">AB4/$AB$64</f>
        <v>#NAME?</v>
      </c>
      <c r="AF4" s="506"/>
      <c r="AG4" s="43">
        <f>'114-Moderator'!AO13</f>
        <v>100</v>
      </c>
      <c r="AH4" s="41">
        <f>AG4-AB4</f>
        <v>0</v>
      </c>
      <c r="AI4" s="89">
        <f>AH4/AB4</f>
        <v>0</v>
      </c>
      <c r="AJ4" s="506">
        <f>AG4/$AG$64</f>
        <v>9.7987874809537299E-6</v>
      </c>
      <c r="AK4" s="44">
        <f>AG4-L4</f>
        <v>0</v>
      </c>
      <c r="AL4" s="207">
        <f t="shared" ref="AL4:AL35" si="2">AK4/L4</f>
        <v>0</v>
      </c>
      <c r="AM4" s="207">
        <f>AL4/3</f>
        <v>0</v>
      </c>
      <c r="AO4" s="44">
        <f>AG4-D4</f>
        <v>0</v>
      </c>
      <c r="AP4" s="207">
        <f>AO4/$D4</f>
        <v>0</v>
      </c>
      <c r="AQ4" s="436">
        <f>AP4/5</f>
        <v>0</v>
      </c>
    </row>
    <row r="5" spans="1:43" ht="19.5" customHeight="1" x14ac:dyDescent="0.3">
      <c r="A5" s="27" t="s">
        <v>1020</v>
      </c>
      <c r="B5" s="40" t="s">
        <v>124</v>
      </c>
      <c r="C5" s="45" t="s">
        <v>7</v>
      </c>
      <c r="D5" s="41">
        <v>169530.81</v>
      </c>
      <c r="E5" s="41">
        <v>170140.77</v>
      </c>
      <c r="F5" s="42">
        <v>-609.95999999999185</v>
      </c>
      <c r="G5" s="396">
        <v>3.7055429721907618E-2</v>
      </c>
      <c r="H5" s="41">
        <v>175922.42</v>
      </c>
      <c r="I5" s="41">
        <v>173429.54</v>
      </c>
      <c r="J5" s="42">
        <v>2492.8800000000047</v>
      </c>
      <c r="K5" s="216">
        <v>3.7055429721907618E-2</v>
      </c>
      <c r="L5" s="41">
        <v>180927.84</v>
      </c>
      <c r="M5" s="41">
        <v>180681.64</v>
      </c>
      <c r="N5" s="42">
        <v>246.19999999998254</v>
      </c>
      <c r="O5" s="216">
        <v>2.8452428064597926E-2</v>
      </c>
      <c r="P5" s="216"/>
      <c r="Q5" s="41">
        <v>186180.5</v>
      </c>
      <c r="R5" s="41">
        <v>184725.27</v>
      </c>
      <c r="S5" s="42">
        <v>1455.2300000000105</v>
      </c>
      <c r="T5" s="216">
        <f t="shared" si="0"/>
        <v>2.9031795217364025E-2</v>
      </c>
      <c r="U5" s="216"/>
      <c r="V5" s="41">
        <f>'122-Selectmen'!AF32</f>
        <v>192062.47</v>
      </c>
      <c r="W5" s="425">
        <f>'122-Selectmen'!AG32</f>
        <v>217633.67</v>
      </c>
      <c r="X5" s="41">
        <f>'122-Selectmen'!AH32</f>
        <v>214422.7</v>
      </c>
      <c r="Y5" s="42">
        <f t="shared" ref="Y5:Y55" si="3">W5-X5</f>
        <v>3210.9700000000012</v>
      </c>
      <c r="Z5" s="281">
        <f t="shared" ref="Z5:Z62" si="4">(W5-Q5)/Q5</f>
        <v>0.16893912090686194</v>
      </c>
      <c r="AA5" s="216"/>
      <c r="AB5" s="43">
        <f>'122-Selectmen'!AK32</f>
        <v>235069.18650000001</v>
      </c>
      <c r="AC5" s="41">
        <f>AB5-W5</f>
        <v>17435.516499999998</v>
      </c>
      <c r="AD5" s="89">
        <f t="shared" ref="AD5:AD24" si="5">AC5/W5</f>
        <v>8.0114058178589728E-2</v>
      </c>
      <c r="AE5" s="506" t="e">
        <f t="shared" ca="1" si="1"/>
        <v>#NAME?</v>
      </c>
      <c r="AF5" s="506"/>
      <c r="AG5" s="43">
        <f>'122-Selectmen'!AO32</f>
        <v>235122.66389999999</v>
      </c>
      <c r="AH5" s="41">
        <f>AG5-AB5</f>
        <v>53.477399999974295</v>
      </c>
      <c r="AI5" s="89">
        <f t="shared" ref="AI5:AI24" si="6">AH5/AB5</f>
        <v>2.2749642688695948E-4</v>
      </c>
      <c r="AJ5" s="506">
        <f>AG5/$AG$64</f>
        <v>2.3039170155118111E-2</v>
      </c>
      <c r="AK5" s="44">
        <f t="shared" ref="AK5:AK24" si="7">AG5-L5</f>
        <v>54194.823899999988</v>
      </c>
      <c r="AL5" s="207">
        <f t="shared" si="2"/>
        <v>0.2995383347305754</v>
      </c>
      <c r="AM5" s="207">
        <f t="shared" ref="AM5:AM59" si="8">AL5/3</f>
        <v>9.9846111576858465E-2</v>
      </c>
      <c r="AO5" s="44">
        <f t="shared" ref="AO5:AO24" si="9">AG5-D5</f>
        <v>65591.853899999987</v>
      </c>
      <c r="AP5" s="207">
        <f t="shared" ref="AP5:AP59" si="10">AO5/$D5</f>
        <v>0.38690226219057167</v>
      </c>
      <c r="AQ5" s="436">
        <f t="shared" ref="AQ5:AQ59" si="11">AP5/5</f>
        <v>7.7380452438114339E-2</v>
      </c>
    </row>
    <row r="6" spans="1:43" ht="19.5" customHeight="1" x14ac:dyDescent="0.3">
      <c r="A6" s="27" t="s">
        <v>1021</v>
      </c>
      <c r="B6" s="40" t="s">
        <v>125</v>
      </c>
      <c r="C6" s="45" t="s">
        <v>1948</v>
      </c>
      <c r="D6" s="41">
        <v>326</v>
      </c>
      <c r="E6" s="41">
        <v>383.6</v>
      </c>
      <c r="F6" s="42">
        <v>-57.600000000000023</v>
      </c>
      <c r="G6" s="396">
        <v>0</v>
      </c>
      <c r="H6" s="41">
        <v>350</v>
      </c>
      <c r="I6" s="41">
        <v>853.16</v>
      </c>
      <c r="J6" s="42">
        <v>-503.15999999999997</v>
      </c>
      <c r="K6" s="216">
        <v>0</v>
      </c>
      <c r="L6" s="41">
        <v>550</v>
      </c>
      <c r="M6" s="41">
        <v>180.45</v>
      </c>
      <c r="N6" s="42">
        <v>369.55</v>
      </c>
      <c r="O6" s="216">
        <v>0.5714285714285714</v>
      </c>
      <c r="P6" s="216"/>
      <c r="Q6" s="41">
        <v>550</v>
      </c>
      <c r="R6" s="41">
        <v>384.05</v>
      </c>
      <c r="S6" s="42">
        <v>165.95</v>
      </c>
      <c r="T6" s="216">
        <f t="shared" si="0"/>
        <v>0</v>
      </c>
      <c r="U6" s="216"/>
      <c r="V6" s="41">
        <f>'131-Finance Committee'!AF15</f>
        <v>550</v>
      </c>
      <c r="W6" s="425">
        <f>'131-Finance Committee'!AG15</f>
        <v>550</v>
      </c>
      <c r="X6" s="41">
        <f>'131-Finance Committee'!AH15</f>
        <v>241.56</v>
      </c>
      <c r="Y6" s="42">
        <f t="shared" si="3"/>
        <v>308.44</v>
      </c>
      <c r="Z6" s="281">
        <f t="shared" si="4"/>
        <v>0</v>
      </c>
      <c r="AA6" s="216"/>
      <c r="AB6" s="43">
        <f>'131-Finance Committee'!AK15</f>
        <v>550</v>
      </c>
      <c r="AC6" s="41">
        <f t="shared" ref="AC6:AC24" si="12">AB6-W6</f>
        <v>0</v>
      </c>
      <c r="AD6" s="89">
        <f t="shared" si="5"/>
        <v>0</v>
      </c>
      <c r="AE6" s="506" t="e">
        <f t="shared" ca="1" si="1"/>
        <v>#NAME?</v>
      </c>
      <c r="AF6" s="506"/>
      <c r="AG6" s="43">
        <f>'131-Finance Committee'!AO15</f>
        <v>450</v>
      </c>
      <c r="AH6" s="41">
        <f t="shared" ref="AH6:AH23" si="13">AG6-AB6</f>
        <v>-100</v>
      </c>
      <c r="AI6" s="89">
        <f t="shared" si="6"/>
        <v>-0.18181818181818182</v>
      </c>
      <c r="AJ6" s="506">
        <f>AG6/$AG$64</f>
        <v>4.4094543664291783E-5</v>
      </c>
      <c r="AK6" s="44">
        <f t="shared" si="7"/>
        <v>-100</v>
      </c>
      <c r="AL6" s="207">
        <f t="shared" si="2"/>
        <v>-0.18181818181818182</v>
      </c>
      <c r="AM6" s="207">
        <f t="shared" si="8"/>
        <v>-6.0606060606060608E-2</v>
      </c>
      <c r="AO6" s="44">
        <f t="shared" si="9"/>
        <v>124</v>
      </c>
      <c r="AP6" s="207">
        <f t="shared" si="10"/>
        <v>0.38036809815950923</v>
      </c>
      <c r="AQ6" s="436">
        <f t="shared" si="11"/>
        <v>7.6073619631901845E-2</v>
      </c>
    </row>
    <row r="7" spans="1:43" ht="19.5" customHeight="1" x14ac:dyDescent="0.3">
      <c r="A7" s="27" t="s">
        <v>1022</v>
      </c>
      <c r="B7" s="40" t="s">
        <v>126</v>
      </c>
      <c r="C7" s="45" t="s">
        <v>0</v>
      </c>
      <c r="D7" s="41">
        <v>64784.98</v>
      </c>
      <c r="E7" s="41">
        <v>66477.100000000006</v>
      </c>
      <c r="F7" s="42">
        <v>-1692.1200000000026</v>
      </c>
      <c r="G7" s="396">
        <v>5.8537725718250812E-2</v>
      </c>
      <c r="H7" s="41">
        <v>69928.45</v>
      </c>
      <c r="I7" s="41">
        <v>68958.880000000005</v>
      </c>
      <c r="J7" s="42">
        <v>969.56999999999243</v>
      </c>
      <c r="K7" s="216">
        <v>5.8537725718250812E-2</v>
      </c>
      <c r="L7" s="41">
        <v>75088.899999999994</v>
      </c>
      <c r="M7" s="41">
        <v>75144.570000000007</v>
      </c>
      <c r="N7" s="42">
        <v>-55.670000000012806</v>
      </c>
      <c r="O7" s="216">
        <v>7.3796144487687024E-2</v>
      </c>
      <c r="P7" s="216"/>
      <c r="Q7" s="41">
        <v>88058.48</v>
      </c>
      <c r="R7" s="41">
        <v>80766.11</v>
      </c>
      <c r="S7" s="42">
        <v>7292.3699999999953</v>
      </c>
      <c r="T7" s="216">
        <f t="shared" si="0"/>
        <v>0.17272299900517923</v>
      </c>
      <c r="U7" s="216"/>
      <c r="V7" s="41">
        <f>'135-Town Accountant'!AF21</f>
        <v>92981.680000000008</v>
      </c>
      <c r="W7" s="425">
        <f>'135-Town Accountant'!AG21</f>
        <v>99427.33</v>
      </c>
      <c r="X7" s="41">
        <f>'135-Town Accountant'!AH21</f>
        <v>94957.21</v>
      </c>
      <c r="Y7" s="42">
        <f t="shared" si="3"/>
        <v>4470.1199999999953</v>
      </c>
      <c r="Z7" s="281">
        <f t="shared" si="4"/>
        <v>0.12910568067947581</v>
      </c>
      <c r="AA7" s="216"/>
      <c r="AB7" s="43">
        <f>'135-Town Accountant'!AK21</f>
        <v>104360.48999999999</v>
      </c>
      <c r="AC7" s="41">
        <f t="shared" si="12"/>
        <v>4933.1599999999889</v>
      </c>
      <c r="AD7" s="89">
        <f t="shared" si="5"/>
        <v>4.9615734426339209E-2</v>
      </c>
      <c r="AE7" s="506" t="e">
        <f t="shared" ca="1" si="1"/>
        <v>#NAME?</v>
      </c>
      <c r="AF7" s="506"/>
      <c r="AG7" s="43">
        <f>'135-Town Accountant'!AO21</f>
        <v>109624.016</v>
      </c>
      <c r="AH7" s="41">
        <f t="shared" si="13"/>
        <v>5263.5260000000126</v>
      </c>
      <c r="AI7" s="89">
        <f t="shared" si="6"/>
        <v>5.0436003127237262E-2</v>
      </c>
      <c r="AJ7" s="506">
        <f t="shared" ref="AJ7:AJ56" si="14">AG7/$AG$64</f>
        <v>1.0741824355926714E-2</v>
      </c>
      <c r="AK7" s="44">
        <f t="shared" si="7"/>
        <v>34535.116000000009</v>
      </c>
      <c r="AL7" s="207">
        <f t="shared" si="2"/>
        <v>0.45992305120996596</v>
      </c>
      <c r="AM7" s="207">
        <f t="shared" si="8"/>
        <v>0.15330768373665532</v>
      </c>
      <c r="AO7" s="44">
        <f t="shared" si="9"/>
        <v>44839.036</v>
      </c>
      <c r="AP7" s="207">
        <f t="shared" si="10"/>
        <v>0.69212085887809172</v>
      </c>
      <c r="AQ7" s="436">
        <f t="shared" si="11"/>
        <v>0.13842417177561833</v>
      </c>
    </row>
    <row r="8" spans="1:43" ht="19.5" customHeight="1" x14ac:dyDescent="0.3">
      <c r="A8" s="27" t="s">
        <v>1023</v>
      </c>
      <c r="B8" s="40" t="s">
        <v>127</v>
      </c>
      <c r="C8" s="45" t="s">
        <v>1</v>
      </c>
      <c r="D8" s="41">
        <v>21000</v>
      </c>
      <c r="E8" s="41">
        <v>20000</v>
      </c>
      <c r="F8" s="42">
        <v>1000</v>
      </c>
      <c r="G8" s="396">
        <v>5.2631578947368418E-2</v>
      </c>
      <c r="H8" s="41">
        <v>20000</v>
      </c>
      <c r="I8" s="41">
        <v>20000</v>
      </c>
      <c r="J8" s="42">
        <v>0</v>
      </c>
      <c r="K8" s="216">
        <v>5.2631578947368418E-2</v>
      </c>
      <c r="L8" s="41">
        <v>20000</v>
      </c>
      <c r="M8" s="41">
        <v>20000</v>
      </c>
      <c r="N8" s="42">
        <v>0</v>
      </c>
      <c r="O8" s="216">
        <v>0</v>
      </c>
      <c r="P8" s="216"/>
      <c r="Q8" s="41">
        <v>22000</v>
      </c>
      <c r="R8" s="41">
        <v>21000</v>
      </c>
      <c r="S8" s="42">
        <v>1000</v>
      </c>
      <c r="T8" s="216">
        <f t="shared" si="0"/>
        <v>0.1</v>
      </c>
      <c r="U8" s="216"/>
      <c r="V8" s="41">
        <f>'136-Auditing'!AF13</f>
        <v>22000</v>
      </c>
      <c r="W8" s="425">
        <f>'136-Auditing'!AG13</f>
        <v>22000</v>
      </c>
      <c r="X8" s="41">
        <f>'136-Auditing'!AH13</f>
        <v>21000</v>
      </c>
      <c r="Y8" s="42">
        <f t="shared" si="3"/>
        <v>1000</v>
      </c>
      <c r="Z8" s="281">
        <f t="shared" si="4"/>
        <v>0</v>
      </c>
      <c r="AA8" s="216"/>
      <c r="AB8" s="43">
        <f>'136-Auditing'!AK13</f>
        <v>21000</v>
      </c>
      <c r="AC8" s="41">
        <f t="shared" si="12"/>
        <v>-1000</v>
      </c>
      <c r="AD8" s="89">
        <f t="shared" si="5"/>
        <v>-4.5454545454545456E-2</v>
      </c>
      <c r="AE8" s="506" t="e">
        <f t="shared" ca="1" si="1"/>
        <v>#NAME?</v>
      </c>
      <c r="AF8" s="506"/>
      <c r="AG8" s="43">
        <f>'136-Auditing'!AO13</f>
        <v>22000</v>
      </c>
      <c r="AH8" s="41">
        <f t="shared" si="13"/>
        <v>1000</v>
      </c>
      <c r="AI8" s="89">
        <f t="shared" si="6"/>
        <v>4.7619047619047616E-2</v>
      </c>
      <c r="AJ8" s="506">
        <f t="shared" si="14"/>
        <v>2.1557332458098204E-3</v>
      </c>
      <c r="AK8" s="44">
        <f t="shared" si="7"/>
        <v>2000</v>
      </c>
      <c r="AL8" s="207">
        <f t="shared" si="2"/>
        <v>0.1</v>
      </c>
      <c r="AM8" s="207">
        <f t="shared" si="8"/>
        <v>3.3333333333333333E-2</v>
      </c>
      <c r="AO8" s="44">
        <f t="shared" si="9"/>
        <v>1000</v>
      </c>
      <c r="AP8" s="207">
        <f t="shared" si="10"/>
        <v>4.7619047619047616E-2</v>
      </c>
      <c r="AQ8" s="436">
        <f t="shared" si="11"/>
        <v>9.5238095238095229E-3</v>
      </c>
    </row>
    <row r="9" spans="1:43" ht="19.5" customHeight="1" x14ac:dyDescent="0.3">
      <c r="A9" s="27" t="s">
        <v>1024</v>
      </c>
      <c r="B9" s="40" t="s">
        <v>128</v>
      </c>
      <c r="C9" s="45" t="s">
        <v>8</v>
      </c>
      <c r="D9" s="41">
        <v>98462.67</v>
      </c>
      <c r="E9" s="41">
        <v>96808.53</v>
      </c>
      <c r="F9" s="42">
        <v>1654.1399999999994</v>
      </c>
      <c r="G9" s="396">
        <v>6.0331039656768955E-2</v>
      </c>
      <c r="H9" s="41">
        <v>103257.89</v>
      </c>
      <c r="I9" s="41">
        <v>96464.09</v>
      </c>
      <c r="J9" s="42">
        <v>6793.8000000000029</v>
      </c>
      <c r="K9" s="216">
        <v>6.0331039656768955E-2</v>
      </c>
      <c r="L9" s="41">
        <v>107563.15</v>
      </c>
      <c r="M9" s="41">
        <v>106996.28</v>
      </c>
      <c r="N9" s="42">
        <v>566.86999999999534</v>
      </c>
      <c r="O9" s="216">
        <v>4.169424728705956E-2</v>
      </c>
      <c r="P9" s="216"/>
      <c r="Q9" s="41">
        <v>111738.77</v>
      </c>
      <c r="R9" s="41">
        <v>110533.65</v>
      </c>
      <c r="S9" s="42">
        <v>1205.1200000000099</v>
      </c>
      <c r="T9" s="216">
        <f t="shared" si="0"/>
        <v>3.8820172150034749E-2</v>
      </c>
      <c r="U9" s="216"/>
      <c r="V9" s="41">
        <f>'141-Board of Assessors'!AF30</f>
        <v>112365.21</v>
      </c>
      <c r="W9" s="425">
        <f>'141-Board of Assessors'!AG30</f>
        <v>121081.24000000002</v>
      </c>
      <c r="X9" s="41">
        <f>'141-Board of Assessors'!AH30</f>
        <v>118572.88000000002</v>
      </c>
      <c r="Y9" s="42">
        <f t="shared" si="3"/>
        <v>2508.3600000000006</v>
      </c>
      <c r="Z9" s="281">
        <f t="shared" si="4"/>
        <v>8.3609923395433966E-2</v>
      </c>
      <c r="AA9" s="216"/>
      <c r="AB9" s="43">
        <f>'141-Board of Assessors'!AK30</f>
        <v>127887.26</v>
      </c>
      <c r="AC9" s="41">
        <f t="shared" si="12"/>
        <v>6806.019999999975</v>
      </c>
      <c r="AD9" s="89">
        <f t="shared" si="5"/>
        <v>5.6210359259617544E-2</v>
      </c>
      <c r="AE9" s="506" t="e">
        <f t="shared" ca="1" si="1"/>
        <v>#NAME?</v>
      </c>
      <c r="AF9" s="506"/>
      <c r="AG9" s="43">
        <f>'141-Board of Assessors'!AO30</f>
        <v>134197.61188000001</v>
      </c>
      <c r="AH9" s="41">
        <f t="shared" si="13"/>
        <v>6310.3518800000165</v>
      </c>
      <c r="AI9" s="89">
        <f t="shared" si="6"/>
        <v>4.9343084526167945E-2</v>
      </c>
      <c r="AJ9" s="506">
        <f t="shared" si="14"/>
        <v>1.3149738792636315E-2</v>
      </c>
      <c r="AK9" s="44">
        <f t="shared" si="7"/>
        <v>26634.461880000017</v>
      </c>
      <c r="AL9" s="207">
        <f t="shared" si="2"/>
        <v>0.24761697551624343</v>
      </c>
      <c r="AM9" s="207">
        <f t="shared" si="8"/>
        <v>8.2538991838747813E-2</v>
      </c>
      <c r="AO9" s="44">
        <f t="shared" si="9"/>
        <v>35734.941880000013</v>
      </c>
      <c r="AP9" s="207">
        <f t="shared" si="10"/>
        <v>0.36292883262255649</v>
      </c>
      <c r="AQ9" s="436">
        <f t="shared" si="11"/>
        <v>7.2585766524511292E-2</v>
      </c>
    </row>
    <row r="10" spans="1:43" ht="19.5" customHeight="1" x14ac:dyDescent="0.3">
      <c r="A10" s="27" t="s">
        <v>1025</v>
      </c>
      <c r="B10" s="40" t="s">
        <v>129</v>
      </c>
      <c r="C10" s="45" t="s">
        <v>2</v>
      </c>
      <c r="D10" s="41">
        <v>79106.789999999994</v>
      </c>
      <c r="E10" s="41">
        <v>77134.11</v>
      </c>
      <c r="F10" s="42">
        <v>1972.679999999993</v>
      </c>
      <c r="G10" s="396">
        <v>1.5645021758506746E-2</v>
      </c>
      <c r="H10" s="41">
        <v>81776.210000000006</v>
      </c>
      <c r="I10" s="41">
        <v>78356.78</v>
      </c>
      <c r="J10" s="42">
        <v>3419.4300000000076</v>
      </c>
      <c r="K10" s="216">
        <v>1.5645021758506746E-2</v>
      </c>
      <c r="L10" s="41">
        <v>87339.98</v>
      </c>
      <c r="M10" s="41">
        <v>84966.5</v>
      </c>
      <c r="N10" s="42">
        <v>2373.4799999999959</v>
      </c>
      <c r="O10" s="216">
        <v>6.8036535319990848E-2</v>
      </c>
      <c r="P10" s="216"/>
      <c r="Q10" s="41">
        <v>96761.51</v>
      </c>
      <c r="R10" s="41">
        <v>95749.75</v>
      </c>
      <c r="S10" s="42">
        <v>1011.7599999999948</v>
      </c>
      <c r="T10" s="216">
        <f t="shared" si="0"/>
        <v>0.10787190471076361</v>
      </c>
      <c r="U10" s="216"/>
      <c r="V10" s="41">
        <f>'145-Treasurer'!AF22</f>
        <v>100765.46</v>
      </c>
      <c r="W10" s="425">
        <f>'145-Treasurer'!AG22</f>
        <v>111180.4</v>
      </c>
      <c r="X10" s="41">
        <f>'145-Treasurer'!AH22</f>
        <v>110186.5</v>
      </c>
      <c r="Y10" s="42">
        <f>W10-X10</f>
        <v>993.89999999999418</v>
      </c>
      <c r="Z10" s="281">
        <f t="shared" si="4"/>
        <v>0.14901472703350743</v>
      </c>
      <c r="AA10" s="216"/>
      <c r="AB10" s="43">
        <f>'145-Treasurer'!AK22</f>
        <v>116632.17</v>
      </c>
      <c r="AC10" s="41">
        <f t="shared" si="12"/>
        <v>5451.7700000000041</v>
      </c>
      <c r="AD10" s="89">
        <f t="shared" si="5"/>
        <v>4.9035351554770484E-2</v>
      </c>
      <c r="AE10" s="506" t="e">
        <f t="shared" ca="1" si="1"/>
        <v>#NAME?</v>
      </c>
      <c r="AF10" s="506"/>
      <c r="AG10" s="43">
        <f>'145-Treasurer'!AO22</f>
        <v>119984.2432</v>
      </c>
      <c r="AH10" s="41">
        <f t="shared" si="13"/>
        <v>3352.0731999999989</v>
      </c>
      <c r="AI10" s="89">
        <f t="shared" si="6"/>
        <v>2.8740554171289096E-2</v>
      </c>
      <c r="AJ10" s="506">
        <f t="shared" si="14"/>
        <v>1.1757001001798675E-2</v>
      </c>
      <c r="AK10" s="44">
        <f t="shared" si="7"/>
        <v>32644.263200000001</v>
      </c>
      <c r="AL10" s="207">
        <f t="shared" si="2"/>
        <v>0.37376082751564638</v>
      </c>
      <c r="AM10" s="207">
        <f t="shared" si="8"/>
        <v>0.12458694250521546</v>
      </c>
      <c r="AO10" s="44">
        <f t="shared" si="9"/>
        <v>40877.453200000004</v>
      </c>
      <c r="AP10" s="207">
        <f t="shared" si="10"/>
        <v>0.51673760495148402</v>
      </c>
      <c r="AQ10" s="436">
        <f t="shared" si="11"/>
        <v>0.1033475209902968</v>
      </c>
    </row>
    <row r="11" spans="1:43" ht="19.5" customHeight="1" x14ac:dyDescent="0.3">
      <c r="A11" s="27" t="s">
        <v>1026</v>
      </c>
      <c r="B11" s="40" t="s">
        <v>130</v>
      </c>
      <c r="C11" s="45" t="s">
        <v>3</v>
      </c>
      <c r="D11" s="41">
        <v>76843.13</v>
      </c>
      <c r="E11" s="41">
        <v>76274.11</v>
      </c>
      <c r="F11" s="42">
        <v>569.02000000000407</v>
      </c>
      <c r="G11" s="396">
        <v>6.0014978332315255E-2</v>
      </c>
      <c r="H11" s="41">
        <v>79826.990000000005</v>
      </c>
      <c r="I11" s="41">
        <v>78404.25</v>
      </c>
      <c r="J11" s="42">
        <v>1422.7400000000052</v>
      </c>
      <c r="K11" s="216">
        <v>6.0014978332315255E-2</v>
      </c>
      <c r="L11" s="41">
        <v>83657.88</v>
      </c>
      <c r="M11" s="41">
        <v>81570.539999999994</v>
      </c>
      <c r="N11" s="42">
        <v>2087.3400000000111</v>
      </c>
      <c r="O11" s="216">
        <v>4.7989909177334623E-2</v>
      </c>
      <c r="P11" s="216"/>
      <c r="Q11" s="41">
        <v>88319.95</v>
      </c>
      <c r="R11" s="41">
        <v>86766.01</v>
      </c>
      <c r="S11" s="42">
        <v>1553.9400000000023</v>
      </c>
      <c r="T11" s="216">
        <f t="shared" si="0"/>
        <v>5.5727804720846284E-2</v>
      </c>
      <c r="U11" s="216"/>
      <c r="V11" s="41">
        <f>'146-Tax Collector'!AF25</f>
        <v>97291.56</v>
      </c>
      <c r="W11" s="425">
        <f>'146-Tax Collector'!AG25</f>
        <v>104201.53</v>
      </c>
      <c r="X11" s="41">
        <f>'146-Tax Collector'!AH25</f>
        <v>102166.69</v>
      </c>
      <c r="Y11" s="42">
        <f t="shared" si="3"/>
        <v>2034.8399999999965</v>
      </c>
      <c r="Z11" s="281">
        <f t="shared" si="4"/>
        <v>0.17981871592997961</v>
      </c>
      <c r="AA11" s="216"/>
      <c r="AB11" s="43">
        <f>'146-Tax Collector'!AK25</f>
        <v>109752.31999999999</v>
      </c>
      <c r="AC11" s="41">
        <f t="shared" si="12"/>
        <v>5550.7899999999936</v>
      </c>
      <c r="AD11" s="89">
        <f t="shared" si="5"/>
        <v>5.3269755252154105E-2</v>
      </c>
      <c r="AE11" s="506" t="e">
        <f t="shared" ca="1" si="1"/>
        <v>#NAME?</v>
      </c>
      <c r="AF11" s="506"/>
      <c r="AG11" s="43">
        <f>'146-Tax Collector'!AO25</f>
        <v>116015.841</v>
      </c>
      <c r="AH11" s="41">
        <f t="shared" si="13"/>
        <v>6263.5210000000079</v>
      </c>
      <c r="AI11" s="89">
        <f t="shared" si="6"/>
        <v>5.706959998658806E-2</v>
      </c>
      <c r="AJ11" s="506">
        <f t="shared" si="14"/>
        <v>1.1368145703831184E-2</v>
      </c>
      <c r="AK11" s="44">
        <f t="shared" si="7"/>
        <v>32357.960999999996</v>
      </c>
      <c r="AL11" s="207">
        <f t="shared" si="2"/>
        <v>0.38678915841520239</v>
      </c>
      <c r="AM11" s="207">
        <f t="shared" si="8"/>
        <v>0.12892971947173412</v>
      </c>
      <c r="AO11" s="44">
        <f t="shared" si="9"/>
        <v>39172.710999999996</v>
      </c>
      <c r="AP11" s="207">
        <f t="shared" si="10"/>
        <v>0.50977505731481776</v>
      </c>
      <c r="AQ11" s="436">
        <f t="shared" si="11"/>
        <v>0.10195501146296355</v>
      </c>
    </row>
    <row r="12" spans="1:43" ht="19.5" customHeight="1" x14ac:dyDescent="0.3">
      <c r="A12" s="27" t="s">
        <v>1027</v>
      </c>
      <c r="B12" s="40" t="s">
        <v>131</v>
      </c>
      <c r="C12" s="45" t="s">
        <v>1949</v>
      </c>
      <c r="D12" s="41">
        <v>48230</v>
      </c>
      <c r="E12" s="41">
        <v>61380.34</v>
      </c>
      <c r="F12" s="42">
        <v>-13150.339999999997</v>
      </c>
      <c r="G12" s="396">
        <v>-8.9706415367886913E-2</v>
      </c>
      <c r="H12" s="41">
        <v>55180</v>
      </c>
      <c r="I12" s="41">
        <v>19849.009999999998</v>
      </c>
      <c r="J12" s="42">
        <v>35330.990000000005</v>
      </c>
      <c r="K12" s="216">
        <v>-8.9706415367886913E-2</v>
      </c>
      <c r="L12" s="41">
        <v>55180</v>
      </c>
      <c r="M12" s="41">
        <v>22810.04</v>
      </c>
      <c r="N12" s="42">
        <v>32369.96</v>
      </c>
      <c r="O12" s="216">
        <v>0</v>
      </c>
      <c r="P12" s="216"/>
      <c r="Q12" s="41">
        <v>55180</v>
      </c>
      <c r="R12" s="41">
        <v>77083.990000000005</v>
      </c>
      <c r="S12" s="42">
        <v>-21903.990000000005</v>
      </c>
      <c r="T12" s="216">
        <f t="shared" si="0"/>
        <v>0</v>
      </c>
      <c r="U12" s="216"/>
      <c r="V12" s="41">
        <f>'151-Legal'!AF15</f>
        <v>55180</v>
      </c>
      <c r="W12" s="425">
        <f>'151-Legal'!AG15</f>
        <v>55180</v>
      </c>
      <c r="X12" s="41">
        <f>'151-Legal'!AH15</f>
        <v>23193.53</v>
      </c>
      <c r="Y12" s="42">
        <f t="shared" si="3"/>
        <v>31986.47</v>
      </c>
      <c r="Z12" s="281">
        <f t="shared" si="4"/>
        <v>0</v>
      </c>
      <c r="AA12" s="216"/>
      <c r="AB12" s="43">
        <f>'151-Legal'!AK15</f>
        <v>60180</v>
      </c>
      <c r="AC12" s="41">
        <f t="shared" si="12"/>
        <v>5000</v>
      </c>
      <c r="AD12" s="89">
        <f t="shared" si="5"/>
        <v>9.0612540775643347E-2</v>
      </c>
      <c r="AE12" s="506" t="e">
        <f t="shared" ca="1" si="1"/>
        <v>#NAME?</v>
      </c>
      <c r="AF12" s="506"/>
      <c r="AG12" s="43">
        <f>'151-Legal'!AO15</f>
        <v>55180</v>
      </c>
      <c r="AH12" s="41">
        <f t="shared" si="13"/>
        <v>-5000</v>
      </c>
      <c r="AI12" s="89">
        <f t="shared" si="6"/>
        <v>-8.3084081090063142E-2</v>
      </c>
      <c r="AJ12" s="506">
        <f t="shared" si="14"/>
        <v>5.4069709319902676E-3</v>
      </c>
      <c r="AK12" s="44">
        <f t="shared" si="7"/>
        <v>0</v>
      </c>
      <c r="AL12" s="207">
        <f t="shared" si="2"/>
        <v>0</v>
      </c>
      <c r="AM12" s="207">
        <f t="shared" si="8"/>
        <v>0</v>
      </c>
      <c r="AO12" s="44">
        <f t="shared" si="9"/>
        <v>6950</v>
      </c>
      <c r="AP12" s="207">
        <f t="shared" si="10"/>
        <v>0.14410118183703088</v>
      </c>
      <c r="AQ12" s="436">
        <f t="shared" si="11"/>
        <v>2.8820236367406177E-2</v>
      </c>
    </row>
    <row r="13" spans="1:43" ht="19.5" customHeight="1" x14ac:dyDescent="0.3">
      <c r="A13" s="27" t="s">
        <v>1028</v>
      </c>
      <c r="B13" s="40" t="s">
        <v>132</v>
      </c>
      <c r="C13" s="45" t="s">
        <v>1950</v>
      </c>
      <c r="D13" s="41">
        <v>3683</v>
      </c>
      <c r="E13" s="41">
        <v>3595.15</v>
      </c>
      <c r="F13" s="42">
        <v>87.849999999999909</v>
      </c>
      <c r="G13" s="396">
        <v>6.0817037754114206E-2</v>
      </c>
      <c r="H13" s="41">
        <v>3848.99</v>
      </c>
      <c r="I13" s="41">
        <v>4329.5600000000004</v>
      </c>
      <c r="J13" s="42">
        <v>-480.57000000000062</v>
      </c>
      <c r="K13" s="216">
        <v>6.0817037754114206E-2</v>
      </c>
      <c r="L13" s="41">
        <v>4101.21</v>
      </c>
      <c r="M13" s="41">
        <v>4012.92</v>
      </c>
      <c r="N13" s="42">
        <v>88.289999999999964</v>
      </c>
      <c r="O13" s="216">
        <v>6.5528879004622065E-2</v>
      </c>
      <c r="P13" s="216"/>
      <c r="Q13" s="41">
        <v>4258.1499999999996</v>
      </c>
      <c r="R13" s="41">
        <v>4162.74</v>
      </c>
      <c r="S13" s="42">
        <v>95.409999999999854</v>
      </c>
      <c r="T13" s="216">
        <f t="shared" si="0"/>
        <v>3.8266755420961036E-2</v>
      </c>
      <c r="U13" s="216"/>
      <c r="V13" s="41">
        <f>'152-Human Resource Board'!AF18</f>
        <v>4460.41</v>
      </c>
      <c r="W13" s="425">
        <f>'152-Human Resource Board'!AG18</f>
        <v>4817.46</v>
      </c>
      <c r="X13" s="41">
        <f>'152-Human Resource Board'!AH18</f>
        <v>5021.6099999999997</v>
      </c>
      <c r="Y13" s="42">
        <f t="shared" si="3"/>
        <v>-204.14999999999964</v>
      </c>
      <c r="Z13" s="281">
        <f t="shared" si="4"/>
        <v>0.13135046910043105</v>
      </c>
      <c r="AA13" s="216"/>
      <c r="AB13" s="43">
        <f>'152-Human Resource Board'!AK18</f>
        <v>5082.62</v>
      </c>
      <c r="AC13" s="41">
        <f t="shared" si="12"/>
        <v>265.15999999999985</v>
      </c>
      <c r="AD13" s="89">
        <f t="shared" si="5"/>
        <v>5.5041453379996899E-2</v>
      </c>
      <c r="AE13" s="506" t="e">
        <f t="shared" ca="1" si="1"/>
        <v>#NAME?</v>
      </c>
      <c r="AF13" s="506"/>
      <c r="AG13" s="43">
        <f>'152-Human Resource Board'!AO18</f>
        <v>5484.031320000001</v>
      </c>
      <c r="AH13" s="41">
        <f t="shared" si="13"/>
        <v>401.41132000000107</v>
      </c>
      <c r="AI13" s="89">
        <f t="shared" si="6"/>
        <v>7.8977244019816761E-2</v>
      </c>
      <c r="AJ13" s="506">
        <f t="shared" si="14"/>
        <v>5.3736857443574169E-4</v>
      </c>
      <c r="AK13" s="44">
        <f t="shared" si="7"/>
        <v>1382.8213200000009</v>
      </c>
      <c r="AL13" s="207">
        <f t="shared" si="2"/>
        <v>0.337173985238503</v>
      </c>
      <c r="AM13" s="207">
        <f t="shared" si="8"/>
        <v>0.11239132841283433</v>
      </c>
      <c r="AO13" s="44">
        <f t="shared" si="9"/>
        <v>1801.031320000001</v>
      </c>
      <c r="AP13" s="207">
        <f t="shared" si="10"/>
        <v>0.4890120336682055</v>
      </c>
      <c r="AQ13" s="436">
        <f t="shared" si="11"/>
        <v>9.7802406733641101E-2</v>
      </c>
    </row>
    <row r="14" spans="1:43" ht="19.5" customHeight="1" x14ac:dyDescent="0.3">
      <c r="A14" s="27" t="s">
        <v>1029</v>
      </c>
      <c r="B14" s="40" t="s">
        <v>133</v>
      </c>
      <c r="C14" s="45" t="s">
        <v>4</v>
      </c>
      <c r="D14" s="41">
        <v>40550.46</v>
      </c>
      <c r="E14" s="41">
        <v>38460.81</v>
      </c>
      <c r="F14" s="42">
        <v>2089.6500000000015</v>
      </c>
      <c r="G14" s="396">
        <v>8.0830847890924623E-2</v>
      </c>
      <c r="H14" s="41">
        <v>42548.92</v>
      </c>
      <c r="I14" s="41">
        <v>41065.79</v>
      </c>
      <c r="J14" s="42">
        <v>1483.1299999999974</v>
      </c>
      <c r="K14" s="216">
        <v>8.0830847890924623E-2</v>
      </c>
      <c r="L14" s="41">
        <v>45197.18</v>
      </c>
      <c r="M14" s="41">
        <v>41813.199999999997</v>
      </c>
      <c r="N14" s="42">
        <v>3383.9800000000032</v>
      </c>
      <c r="O14" s="216">
        <v>6.2240357687104682E-2</v>
      </c>
      <c r="P14" s="216"/>
      <c r="Q14" s="41">
        <v>50343.1</v>
      </c>
      <c r="R14" s="41">
        <v>47820.81</v>
      </c>
      <c r="S14" s="42">
        <v>2522.2900000000009</v>
      </c>
      <c r="T14" s="216">
        <f t="shared" si="0"/>
        <v>0.11385489094673602</v>
      </c>
      <c r="U14" s="216"/>
      <c r="V14" s="41">
        <f>'161-Town Clerk'!AF29</f>
        <v>49568.83</v>
      </c>
      <c r="W14" s="425">
        <f>'161-Town Clerk'!AG29</f>
        <v>53328.79</v>
      </c>
      <c r="X14" s="41">
        <f>'161-Town Clerk'!AH29</f>
        <v>48484.78</v>
      </c>
      <c r="Y14" s="42">
        <f t="shared" si="3"/>
        <v>4844.010000000002</v>
      </c>
      <c r="Z14" s="281">
        <f>(W14-Q14)/Q14</f>
        <v>5.9306836488019259E-2</v>
      </c>
      <c r="AA14" s="216"/>
      <c r="AB14" s="43">
        <f>'161-Town Clerk'!AK29</f>
        <v>58230.05</v>
      </c>
      <c r="AC14" s="41">
        <f t="shared" si="12"/>
        <v>4901.260000000002</v>
      </c>
      <c r="AD14" s="89">
        <f t="shared" si="5"/>
        <v>9.1906454281074107E-2</v>
      </c>
      <c r="AE14" s="506" t="e">
        <f t="shared" ca="1" si="1"/>
        <v>#NAME?</v>
      </c>
      <c r="AF14" s="506"/>
      <c r="AG14" s="43">
        <f>'161-Town Clerk'!AO29</f>
        <v>61365.228860000003</v>
      </c>
      <c r="AH14" s="41">
        <f t="shared" si="13"/>
        <v>3135.17886</v>
      </c>
      <c r="AI14" s="89">
        <f t="shared" si="6"/>
        <v>5.3841253098700755E-2</v>
      </c>
      <c r="AJ14" s="506">
        <f t="shared" si="14"/>
        <v>6.0130483631922853E-3</v>
      </c>
      <c r="AK14" s="44">
        <f t="shared" si="7"/>
        <v>16168.048860000003</v>
      </c>
      <c r="AL14" s="207">
        <f t="shared" si="2"/>
        <v>0.35772251410375611</v>
      </c>
      <c r="AM14" s="207">
        <f t="shared" si="8"/>
        <v>0.11924083803458536</v>
      </c>
      <c r="AO14" s="44">
        <f t="shared" si="9"/>
        <v>20814.768860000004</v>
      </c>
      <c r="AP14" s="207">
        <f t="shared" si="10"/>
        <v>0.51330536965548612</v>
      </c>
      <c r="AQ14" s="436">
        <f t="shared" si="11"/>
        <v>0.10266107393109722</v>
      </c>
    </row>
    <row r="15" spans="1:43" ht="19.5" customHeight="1" x14ac:dyDescent="0.3">
      <c r="A15" s="27" t="s">
        <v>1030</v>
      </c>
      <c r="B15" s="40" t="s">
        <v>134</v>
      </c>
      <c r="C15" s="45" t="s">
        <v>9</v>
      </c>
      <c r="D15" s="41">
        <v>33483.93</v>
      </c>
      <c r="E15" s="41">
        <v>32822.33</v>
      </c>
      <c r="F15" s="42">
        <v>661.59999999999854</v>
      </c>
      <c r="G15" s="396">
        <v>5.1469563502498025E-2</v>
      </c>
      <c r="H15" s="41">
        <v>35046.67</v>
      </c>
      <c r="I15" s="41">
        <v>33902.61</v>
      </c>
      <c r="J15" s="42">
        <v>1144.0599999999977</v>
      </c>
      <c r="K15" s="216">
        <v>5.1469563502498025E-2</v>
      </c>
      <c r="L15" s="41">
        <v>36840.15</v>
      </c>
      <c r="M15" s="41">
        <v>35794.019999999997</v>
      </c>
      <c r="N15" s="42">
        <v>1046.1300000000047</v>
      </c>
      <c r="O15" s="216">
        <v>5.1174048775532832E-2</v>
      </c>
      <c r="P15" s="216"/>
      <c r="Q15" s="41">
        <v>38099.480000000003</v>
      </c>
      <c r="R15" s="41">
        <v>36924.33</v>
      </c>
      <c r="S15" s="42">
        <v>1175.1500000000015</v>
      </c>
      <c r="T15" s="216">
        <f t="shared" si="0"/>
        <v>3.4183628459710444E-2</v>
      </c>
      <c r="U15" s="216"/>
      <c r="V15" s="41">
        <f>'171-ConComm'!AJ20</f>
        <v>45478.92</v>
      </c>
      <c r="W15" s="425">
        <f>'171-ConComm'!AF20</f>
        <v>43454.47</v>
      </c>
      <c r="X15" s="41">
        <f>'171-ConComm'!AG20</f>
        <v>42305.19</v>
      </c>
      <c r="Y15" s="42">
        <f t="shared" si="3"/>
        <v>1149.2799999999988</v>
      </c>
      <c r="Z15" s="281">
        <f t="shared" si="4"/>
        <v>0.14055283694160647</v>
      </c>
      <c r="AA15" s="216"/>
      <c r="AB15" s="43">
        <f>'171-ConComm'!AJ20</f>
        <v>45478.92</v>
      </c>
      <c r="AC15" s="41">
        <f t="shared" si="12"/>
        <v>2024.4499999999971</v>
      </c>
      <c r="AD15" s="89">
        <f t="shared" si="5"/>
        <v>4.6587842401483601E-2</v>
      </c>
      <c r="AE15" s="506" t="e">
        <f t="shared" ca="1" si="1"/>
        <v>#NAME?</v>
      </c>
      <c r="AF15" s="506"/>
      <c r="AG15" s="43">
        <f>'171-ConComm'!AN20</f>
        <v>46237.015400000011</v>
      </c>
      <c r="AH15" s="41">
        <f t="shared" si="13"/>
        <v>758.09540000001289</v>
      </c>
      <c r="AI15" s="89">
        <f t="shared" si="6"/>
        <v>1.6669160129572404E-2</v>
      </c>
      <c r="AJ15" s="506">
        <f t="shared" si="14"/>
        <v>4.5306668765818488E-3</v>
      </c>
      <c r="AK15" s="44">
        <f t="shared" si="7"/>
        <v>9396.8654000000097</v>
      </c>
      <c r="AL15" s="207">
        <f t="shared" si="2"/>
        <v>0.25507131214178036</v>
      </c>
      <c r="AM15" s="207">
        <f t="shared" si="8"/>
        <v>8.5023770713926791E-2</v>
      </c>
      <c r="AO15" s="44">
        <f t="shared" si="9"/>
        <v>12753.085400000011</v>
      </c>
      <c r="AP15" s="207">
        <f t="shared" si="10"/>
        <v>0.38087182119900531</v>
      </c>
      <c r="AQ15" s="436">
        <f t="shared" si="11"/>
        <v>7.6174364239801062E-2</v>
      </c>
    </row>
    <row r="16" spans="1:43" ht="19.5" customHeight="1" x14ac:dyDescent="0.3">
      <c r="A16" s="27" t="s">
        <v>1031</v>
      </c>
      <c r="B16" s="40" t="s">
        <v>135</v>
      </c>
      <c r="C16" s="45" t="s">
        <v>10</v>
      </c>
      <c r="D16" s="41">
        <v>29965.97</v>
      </c>
      <c r="E16" s="41">
        <v>24732.240000000002</v>
      </c>
      <c r="F16" s="42">
        <v>5233.7299999999996</v>
      </c>
      <c r="G16" s="396">
        <v>-5.5274292652415444E-2</v>
      </c>
      <c r="H16" s="41">
        <v>30427.94</v>
      </c>
      <c r="I16" s="41">
        <v>24889.24</v>
      </c>
      <c r="J16" s="42">
        <v>5538.6999999999971</v>
      </c>
      <c r="K16" s="216">
        <v>-5.5274292652415444E-2</v>
      </c>
      <c r="L16" s="41">
        <v>32193.46</v>
      </c>
      <c r="M16" s="41">
        <v>28339.1</v>
      </c>
      <c r="N16" s="42">
        <v>3854.3600000000006</v>
      </c>
      <c r="O16" s="216">
        <v>5.8022988082663519E-2</v>
      </c>
      <c r="P16" s="216"/>
      <c r="Q16" s="41">
        <v>33278.06</v>
      </c>
      <c r="R16" s="41">
        <v>28952.77</v>
      </c>
      <c r="S16" s="42">
        <v>4325.2899999999972</v>
      </c>
      <c r="T16" s="216">
        <f t="shared" si="0"/>
        <v>3.3690072455709902E-2</v>
      </c>
      <c r="U16" s="216"/>
      <c r="V16" s="41">
        <f>'175-Planning Board'!AF26</f>
        <v>34483.880000000005</v>
      </c>
      <c r="W16" s="425">
        <f>'175-Planning Board'!AG26</f>
        <v>36990.53</v>
      </c>
      <c r="X16" s="41">
        <f>'175-Planning Board'!AH26</f>
        <v>32434.789999999997</v>
      </c>
      <c r="Y16" s="42">
        <f t="shared" si="3"/>
        <v>4555.7400000000016</v>
      </c>
      <c r="Z16" s="281">
        <f t="shared" si="4"/>
        <v>0.11155908727852529</v>
      </c>
      <c r="AA16" s="216"/>
      <c r="AB16" s="43">
        <f>'175-Planning Board'!AK26</f>
        <v>38671.369999999995</v>
      </c>
      <c r="AC16" s="41">
        <f t="shared" si="12"/>
        <v>1680.8399999999965</v>
      </c>
      <c r="AD16" s="89">
        <f t="shared" si="5"/>
        <v>4.5439738224891522E-2</v>
      </c>
      <c r="AE16" s="506" t="e">
        <f t="shared" ca="1" si="1"/>
        <v>#NAME?</v>
      </c>
      <c r="AF16" s="506"/>
      <c r="AG16" s="43">
        <f>'175-Planning Board'!AO26</f>
        <v>40893.219240000006</v>
      </c>
      <c r="AH16" s="41">
        <f t="shared" si="13"/>
        <v>2221.8492400000105</v>
      </c>
      <c r="AI16" s="89">
        <f t="shared" si="6"/>
        <v>5.7454629613587799E-2</v>
      </c>
      <c r="AJ16" s="506">
        <f t="shared" si="14"/>
        <v>4.0070396474480826E-3</v>
      </c>
      <c r="AK16" s="44">
        <f t="shared" si="7"/>
        <v>8699.7592400000067</v>
      </c>
      <c r="AL16" s="207">
        <f t="shared" si="2"/>
        <v>0.27023374436919817</v>
      </c>
      <c r="AM16" s="207">
        <f t="shared" si="8"/>
        <v>9.0077914789732719E-2</v>
      </c>
      <c r="AO16" s="44">
        <f t="shared" si="9"/>
        <v>10927.249240000005</v>
      </c>
      <c r="AP16" s="207">
        <f t="shared" si="10"/>
        <v>0.36465528197485364</v>
      </c>
      <c r="AQ16" s="436">
        <f t="shared" si="11"/>
        <v>7.2931056394970731E-2</v>
      </c>
    </row>
    <row r="17" spans="1:43" ht="19.5" customHeight="1" x14ac:dyDescent="0.3">
      <c r="A17" s="27" t="s">
        <v>1032</v>
      </c>
      <c r="B17" s="40" t="s">
        <v>136</v>
      </c>
      <c r="C17" s="45" t="s">
        <v>11</v>
      </c>
      <c r="D17" s="41">
        <v>32451.65</v>
      </c>
      <c r="E17" s="41">
        <v>32596.799999999999</v>
      </c>
      <c r="F17" s="42">
        <v>-145.14999999999782</v>
      </c>
      <c r="G17" s="396">
        <v>6.1305474011396945E-2</v>
      </c>
      <c r="H17" s="41">
        <v>35381.230000000003</v>
      </c>
      <c r="I17" s="41">
        <v>35385.230000000003</v>
      </c>
      <c r="J17" s="42">
        <v>-4</v>
      </c>
      <c r="K17" s="216">
        <v>6.1305474011396945E-2</v>
      </c>
      <c r="L17" s="41">
        <v>37413.83</v>
      </c>
      <c r="M17" s="41">
        <v>36216.53</v>
      </c>
      <c r="N17" s="42">
        <v>1197.3000000000029</v>
      </c>
      <c r="O17" s="216">
        <v>5.7448539804862586E-2</v>
      </c>
      <c r="P17" s="216"/>
      <c r="Q17" s="41">
        <v>38824.07</v>
      </c>
      <c r="R17" s="41">
        <v>38509.129999999997</v>
      </c>
      <c r="S17" s="42">
        <v>314.94000000000233</v>
      </c>
      <c r="T17" s="216">
        <f t="shared" si="0"/>
        <v>3.7693013519332234E-2</v>
      </c>
      <c r="U17" s="216"/>
      <c r="V17" s="41" t="e">
        <f ca="1">'176-ZBA'!AF18</f>
        <v>#NAME?</v>
      </c>
      <c r="W17" s="425">
        <f>'176-ZBA'!AG18</f>
        <v>44891.94</v>
      </c>
      <c r="X17" s="41">
        <f>'176-ZBA'!AH18</f>
        <v>45285.15</v>
      </c>
      <c r="Y17" s="42">
        <f t="shared" si="3"/>
        <v>-393.20999999999913</v>
      </c>
      <c r="Z17" s="281">
        <f t="shared" si="4"/>
        <v>0.15629144497215267</v>
      </c>
      <c r="AA17" s="216"/>
      <c r="AB17" s="43">
        <f>'176-ZBA'!AK18</f>
        <v>47186.31</v>
      </c>
      <c r="AC17" s="41">
        <f t="shared" si="12"/>
        <v>2294.3699999999953</v>
      </c>
      <c r="AD17" s="89">
        <f t="shared" si="5"/>
        <v>5.1108729094799542E-2</v>
      </c>
      <c r="AE17" s="506" t="e">
        <f t="shared" ca="1" si="1"/>
        <v>#NAME?</v>
      </c>
      <c r="AF17" s="506"/>
      <c r="AG17" s="43">
        <f>'176-ZBA'!AO18</f>
        <v>49154.284120000004</v>
      </c>
      <c r="AH17" s="41">
        <f t="shared" si="13"/>
        <v>1967.9741200000062</v>
      </c>
      <c r="AI17" s="89">
        <f t="shared" si="6"/>
        <v>4.1706463590817047E-2</v>
      </c>
      <c r="AJ17" s="506">
        <f t="shared" si="14"/>
        <v>4.8165238387029869E-3</v>
      </c>
      <c r="AK17" s="44">
        <f t="shared" si="7"/>
        <v>11740.454120000002</v>
      </c>
      <c r="AL17" s="207">
        <f t="shared" si="2"/>
        <v>0.31379984674116501</v>
      </c>
      <c r="AM17" s="207">
        <f t="shared" si="8"/>
        <v>0.10459994891372167</v>
      </c>
      <c r="AO17" s="44">
        <f t="shared" si="9"/>
        <v>16702.634120000002</v>
      </c>
      <c r="AP17" s="207">
        <f t="shared" si="10"/>
        <v>0.51469290837291792</v>
      </c>
      <c r="AQ17" s="436">
        <f t="shared" si="11"/>
        <v>0.10293858167458358</v>
      </c>
    </row>
    <row r="18" spans="1:43" ht="19.5" customHeight="1" x14ac:dyDescent="0.3">
      <c r="A18" s="27" t="s">
        <v>1033</v>
      </c>
      <c r="B18" s="40" t="s">
        <v>137</v>
      </c>
      <c r="C18" s="45" t="s">
        <v>1951</v>
      </c>
      <c r="D18" s="41">
        <v>11109.31</v>
      </c>
      <c r="E18" s="41">
        <v>10136.34</v>
      </c>
      <c r="F18" s="42">
        <v>972.96999999999935</v>
      </c>
      <c r="G18" s="396">
        <v>5.1777601428429652E-2</v>
      </c>
      <c r="H18" s="41">
        <v>11573.89</v>
      </c>
      <c r="I18" s="41">
        <v>11352.74</v>
      </c>
      <c r="J18" s="42">
        <v>221.14999999999964</v>
      </c>
      <c r="K18" s="216">
        <v>5.1777601428429652E-2</v>
      </c>
      <c r="L18" s="41">
        <v>16071.72</v>
      </c>
      <c r="M18" s="41">
        <v>11439.47</v>
      </c>
      <c r="N18" s="42">
        <v>4632.25</v>
      </c>
      <c r="O18" s="216">
        <v>0.38861869259168696</v>
      </c>
      <c r="P18" s="216"/>
      <c r="Q18" s="41">
        <v>16486.490000000002</v>
      </c>
      <c r="R18" s="41">
        <v>11767.34</v>
      </c>
      <c r="S18" s="42">
        <v>4719.1500000000015</v>
      </c>
      <c r="T18" s="216">
        <f t="shared" si="0"/>
        <v>2.5807443136142385E-2</v>
      </c>
      <c r="U18" s="216"/>
      <c r="V18" s="41" t="e">
        <f ca="1">'179-CPC'!AF20</f>
        <v>#NAME?</v>
      </c>
      <c r="W18" s="425">
        <f>'179-CPC'!AG20</f>
        <v>15871.16</v>
      </c>
      <c r="X18" s="41">
        <f>'179-CPC'!AH20</f>
        <v>13318.31</v>
      </c>
      <c r="Y18" s="42">
        <f t="shared" si="3"/>
        <v>2552.8500000000004</v>
      </c>
      <c r="Z18" s="281">
        <f t="shared" si="4"/>
        <v>-3.7323287127824158E-2</v>
      </c>
      <c r="AA18" s="216"/>
      <c r="AB18" s="43">
        <f>'179-CPC'!AK20</f>
        <v>16545.97</v>
      </c>
      <c r="AC18" s="41">
        <f t="shared" si="12"/>
        <v>674.81000000000131</v>
      </c>
      <c r="AD18" s="89">
        <f t="shared" si="5"/>
        <v>4.2518001204700936E-2</v>
      </c>
      <c r="AE18" s="786" t="e">
        <f t="shared" ca="1" si="1"/>
        <v>#NAME?</v>
      </c>
      <c r="AF18" s="786"/>
      <c r="AG18" s="43">
        <f>'179-CPC'!AO20</f>
        <v>16030.6718</v>
      </c>
      <c r="AH18" s="41">
        <f t="shared" si="13"/>
        <v>-515.29820000000109</v>
      </c>
      <c r="AI18" s="89">
        <f t="shared" si="6"/>
        <v>-3.1143426465779948E-2</v>
      </c>
      <c r="AJ18" s="510">
        <f t="shared" si="14"/>
        <v>1.5708114614511799E-3</v>
      </c>
      <c r="AK18" s="44">
        <f t="shared" si="7"/>
        <v>-41.048199999999269</v>
      </c>
      <c r="AL18" s="207">
        <f t="shared" si="2"/>
        <v>-2.5540639085299688E-3</v>
      </c>
      <c r="AM18" s="207">
        <f t="shared" si="8"/>
        <v>-8.513546361766563E-4</v>
      </c>
      <c r="AO18" s="44">
        <f t="shared" si="9"/>
        <v>4921.3618000000006</v>
      </c>
      <c r="AP18" s="207">
        <f t="shared" si="10"/>
        <v>0.442994371387602</v>
      </c>
      <c r="AQ18" s="436">
        <f t="shared" si="11"/>
        <v>8.8598874277520404E-2</v>
      </c>
    </row>
    <row r="19" spans="1:43" ht="19.5" customHeight="1" x14ac:dyDescent="0.3">
      <c r="A19" s="27" t="s">
        <v>1034</v>
      </c>
      <c r="B19" s="40" t="s">
        <v>138</v>
      </c>
      <c r="C19" s="45" t="s">
        <v>12</v>
      </c>
      <c r="D19" s="41">
        <v>35328.35</v>
      </c>
      <c r="E19" s="41">
        <v>32473.75</v>
      </c>
      <c r="F19" s="42">
        <v>2854.5999999999985</v>
      </c>
      <c r="G19" s="396">
        <v>8.9925774526678215E-2</v>
      </c>
      <c r="H19" s="41">
        <v>37031.360000000001</v>
      </c>
      <c r="I19" s="41">
        <v>32587.97</v>
      </c>
      <c r="J19" s="42">
        <v>4443.3899999999994</v>
      </c>
      <c r="K19" s="216">
        <v>8.9925774526678215E-2</v>
      </c>
      <c r="L19" s="41">
        <v>37757.440000000002</v>
      </c>
      <c r="M19" s="41">
        <v>32551.37</v>
      </c>
      <c r="N19" s="42">
        <v>5206.0700000000033</v>
      </c>
      <c r="O19" s="216">
        <v>1.9607165386310462E-2</v>
      </c>
      <c r="P19" s="216"/>
      <c r="Q19" s="41">
        <v>42374.9</v>
      </c>
      <c r="R19" s="41">
        <v>41412.53</v>
      </c>
      <c r="S19" s="42">
        <v>962.37000000000262</v>
      </c>
      <c r="T19" s="216">
        <f t="shared" si="0"/>
        <v>0.12229271899789813</v>
      </c>
      <c r="U19" s="216"/>
      <c r="V19" s="41">
        <f>'185-Housing'!AF18</f>
        <v>44256.56</v>
      </c>
      <c r="W19" s="425">
        <f>'185-Housing'!AG18</f>
        <v>44272.22</v>
      </c>
      <c r="X19" s="41">
        <f>'185-Housing'!AH18</f>
        <v>42680.06</v>
      </c>
      <c r="Y19" s="42">
        <f t="shared" si="3"/>
        <v>1592.1600000000035</v>
      </c>
      <c r="Z19" s="281">
        <f t="shared" si="4"/>
        <v>4.4774618937153829E-2</v>
      </c>
      <c r="AA19" s="216"/>
      <c r="AB19" s="43">
        <f>'185-Housing'!AK18</f>
        <v>41988.18</v>
      </c>
      <c r="AC19" s="41">
        <f t="shared" si="12"/>
        <v>-2284.0400000000009</v>
      </c>
      <c r="AD19" s="89">
        <f t="shared" si="5"/>
        <v>-5.1590816995398033E-2</v>
      </c>
      <c r="AE19" s="506" t="e">
        <f t="shared" ca="1" si="1"/>
        <v>#NAME?</v>
      </c>
      <c r="AF19" s="506"/>
      <c r="AG19" s="43">
        <f>'185-Housing'!AO18</f>
        <v>47865.51</v>
      </c>
      <c r="AH19" s="41">
        <f t="shared" si="13"/>
        <v>5877.3300000000017</v>
      </c>
      <c r="AI19" s="89">
        <f t="shared" si="6"/>
        <v>0.13997582176698303</v>
      </c>
      <c r="AJ19" s="506">
        <f t="shared" si="14"/>
        <v>4.6902396015746552E-3</v>
      </c>
      <c r="AK19" s="44">
        <f t="shared" si="7"/>
        <v>10108.07</v>
      </c>
      <c r="AL19" s="207">
        <f t="shared" si="2"/>
        <v>0.26771068165638345</v>
      </c>
      <c r="AM19" s="207">
        <f t="shared" si="8"/>
        <v>8.9236893885461147E-2</v>
      </c>
      <c r="AO19" s="44">
        <f t="shared" si="9"/>
        <v>12537.160000000003</v>
      </c>
      <c r="AP19" s="207">
        <f t="shared" si="10"/>
        <v>0.35487533383246045</v>
      </c>
      <c r="AQ19" s="436">
        <f t="shared" si="11"/>
        <v>7.0975066766492095E-2</v>
      </c>
    </row>
    <row r="20" spans="1:43" ht="19.5" customHeight="1" x14ac:dyDescent="0.3">
      <c r="A20" s="27" t="s">
        <v>1035</v>
      </c>
      <c r="B20" s="40" t="s">
        <v>139</v>
      </c>
      <c r="C20" s="45" t="s">
        <v>1952</v>
      </c>
      <c r="D20" s="41">
        <v>155720.09</v>
      </c>
      <c r="E20" s="41">
        <v>152803.91</v>
      </c>
      <c r="F20" s="42">
        <v>2916.179999999993</v>
      </c>
      <c r="G20" s="396">
        <v>2.916208666185912E-2</v>
      </c>
      <c r="H20" s="41">
        <v>156979.82</v>
      </c>
      <c r="I20" s="41">
        <v>148261.01</v>
      </c>
      <c r="J20" s="42">
        <v>8718.8099999999977</v>
      </c>
      <c r="K20" s="216">
        <v>2.916208666185912E-2</v>
      </c>
      <c r="L20" s="41">
        <v>160793.78</v>
      </c>
      <c r="M20" s="41">
        <v>142125.07999999999</v>
      </c>
      <c r="N20" s="42">
        <v>18668.700000000012</v>
      </c>
      <c r="O20" s="216">
        <v>2.4295861722863434E-2</v>
      </c>
      <c r="P20" s="216"/>
      <c r="Q20" s="41">
        <v>165094.76</v>
      </c>
      <c r="R20" s="41">
        <v>148924.71</v>
      </c>
      <c r="S20" s="42">
        <v>16170.050000000017</v>
      </c>
      <c r="T20" s="216">
        <f t="shared" si="0"/>
        <v>2.6748422731277359E-2</v>
      </c>
      <c r="U20" s="216"/>
      <c r="V20" s="41">
        <f>'192-Town Offices'!AF43</f>
        <v>168562.25</v>
      </c>
      <c r="W20" s="425">
        <f>'192-Town Offices'!AG43</f>
        <v>173573.47</v>
      </c>
      <c r="X20" s="41">
        <f>'192-Town Offices'!AH43</f>
        <v>159363.58999999997</v>
      </c>
      <c r="Y20" s="42">
        <f t="shared" si="3"/>
        <v>14209.880000000034</v>
      </c>
      <c r="Z20" s="281">
        <f t="shared" si="4"/>
        <v>5.1356626945640138E-2</v>
      </c>
      <c r="AA20" s="216"/>
      <c r="AB20" s="43">
        <f>'192-Town Offices'!AK43</f>
        <v>185076.30556000001</v>
      </c>
      <c r="AC20" s="41">
        <f t="shared" si="12"/>
        <v>11502.835560000007</v>
      </c>
      <c r="AD20" s="89">
        <f t="shared" si="5"/>
        <v>6.6270701161876902E-2</v>
      </c>
      <c r="AE20" s="506" t="e">
        <f t="shared" ca="1" si="1"/>
        <v>#NAME?</v>
      </c>
      <c r="AF20" s="506"/>
      <c r="AG20" s="43">
        <f>'192-Town Offices'!AO43</f>
        <v>196716.70732000002</v>
      </c>
      <c r="AH20" s="41">
        <f t="shared" si="13"/>
        <v>11640.401760000008</v>
      </c>
      <c r="AI20" s="89">
        <f t="shared" si="6"/>
        <v>6.2895148705171766E-2</v>
      </c>
      <c r="AJ20" s="506">
        <f t="shared" si="14"/>
        <v>1.927585208981655E-2</v>
      </c>
      <c r="AK20" s="44">
        <f t="shared" si="7"/>
        <v>35922.927320000017</v>
      </c>
      <c r="AL20" s="207">
        <f t="shared" si="2"/>
        <v>0.22340993115529728</v>
      </c>
      <c r="AM20" s="207">
        <f t="shared" si="8"/>
        <v>7.4469977051765765E-2</v>
      </c>
      <c r="AO20" s="44">
        <f t="shared" si="9"/>
        <v>40996.617320000019</v>
      </c>
      <c r="AP20" s="207">
        <f t="shared" si="10"/>
        <v>0.26327121516562196</v>
      </c>
      <c r="AQ20" s="436">
        <f t="shared" si="11"/>
        <v>5.2654243033124395E-2</v>
      </c>
    </row>
    <row r="21" spans="1:43" ht="19.5" customHeight="1" x14ac:dyDescent="0.3">
      <c r="A21" s="27" t="s">
        <v>1036</v>
      </c>
      <c r="B21" s="40" t="s">
        <v>140</v>
      </c>
      <c r="C21" s="45" t="s">
        <v>1953</v>
      </c>
      <c r="D21" s="41">
        <v>19274.240000000002</v>
      </c>
      <c r="E21" s="41">
        <v>19230.73</v>
      </c>
      <c r="F21" s="42">
        <v>43.510000000002037</v>
      </c>
      <c r="G21" s="396">
        <v>5.6338028169014086E-2</v>
      </c>
      <c r="H21" s="41">
        <v>19350</v>
      </c>
      <c r="I21" s="41">
        <v>21146.61</v>
      </c>
      <c r="J21" s="42">
        <v>-1796.6100000000006</v>
      </c>
      <c r="K21" s="216">
        <v>5.6338028169014086E-2</v>
      </c>
      <c r="L21" s="41">
        <v>19350</v>
      </c>
      <c r="M21" s="41">
        <v>16828.919999999998</v>
      </c>
      <c r="N21" s="42">
        <v>2521.0800000000017</v>
      </c>
      <c r="O21" s="216">
        <v>0</v>
      </c>
      <c r="P21" s="216"/>
      <c r="Q21" s="41">
        <v>19950</v>
      </c>
      <c r="R21" s="41">
        <v>18274.88</v>
      </c>
      <c r="S21" s="42">
        <v>1675.119999999999</v>
      </c>
      <c r="T21" s="216">
        <f t="shared" si="0"/>
        <v>3.1007751937984496E-2</v>
      </c>
      <c r="U21" s="216"/>
      <c r="V21" s="41">
        <f>'194-Community Center'!AF30</f>
        <v>20200</v>
      </c>
      <c r="W21" s="425">
        <f>'194-Community Center'!AG30</f>
        <v>20200</v>
      </c>
      <c r="X21" s="41">
        <f>'194-Community Center'!AH30</f>
        <v>18620.07</v>
      </c>
      <c r="Y21" s="42">
        <f t="shared" si="3"/>
        <v>1579.9300000000003</v>
      </c>
      <c r="Z21" s="281">
        <f t="shared" si="4"/>
        <v>1.2531328320802004E-2</v>
      </c>
      <c r="AA21" s="216"/>
      <c r="AB21" s="43">
        <f>'194-Community Center'!AK30</f>
        <v>21600</v>
      </c>
      <c r="AC21" s="41">
        <f t="shared" si="12"/>
        <v>1400</v>
      </c>
      <c r="AD21" s="89">
        <f t="shared" si="5"/>
        <v>6.9306930693069313E-2</v>
      </c>
      <c r="AE21" s="506" t="e">
        <f t="shared" ca="1" si="1"/>
        <v>#NAME?</v>
      </c>
      <c r="AF21" s="506"/>
      <c r="AG21" s="43">
        <f>'194-Community Center'!AO30</f>
        <v>22150</v>
      </c>
      <c r="AH21" s="41">
        <f t="shared" si="13"/>
        <v>550</v>
      </c>
      <c r="AI21" s="89">
        <f t="shared" si="6"/>
        <v>2.5462962962962962E-2</v>
      </c>
      <c r="AJ21" s="506">
        <f t="shared" si="14"/>
        <v>2.1704314270312511E-3</v>
      </c>
      <c r="AK21" s="44">
        <f t="shared" si="7"/>
        <v>2800</v>
      </c>
      <c r="AL21" s="207">
        <f t="shared" si="2"/>
        <v>0.14470284237726097</v>
      </c>
      <c r="AM21" s="207">
        <f t="shared" si="8"/>
        <v>4.8234280792420321E-2</v>
      </c>
      <c r="AO21" s="44">
        <f t="shared" si="9"/>
        <v>2875.7599999999984</v>
      </c>
      <c r="AP21" s="207">
        <f t="shared" si="10"/>
        <v>0.14920225129499259</v>
      </c>
      <c r="AQ21" s="436">
        <f t="shared" si="11"/>
        <v>2.9840450258998518E-2</v>
      </c>
    </row>
    <row r="22" spans="1:43" ht="19.5" customHeight="1" x14ac:dyDescent="0.3">
      <c r="A22" s="27" t="s">
        <v>1037</v>
      </c>
      <c r="B22" s="40" t="s">
        <v>141</v>
      </c>
      <c r="C22" s="45" t="s">
        <v>1954</v>
      </c>
      <c r="D22" s="41">
        <v>32053.15</v>
      </c>
      <c r="E22" s="41">
        <v>21266.43</v>
      </c>
      <c r="F22" s="42">
        <v>10786.720000000001</v>
      </c>
      <c r="G22" s="396">
        <v>-2.7777777777777776E-2</v>
      </c>
      <c r="H22" s="41">
        <v>45000</v>
      </c>
      <c r="I22" s="41">
        <v>30790.28</v>
      </c>
      <c r="J22" s="42">
        <v>14209.720000000001</v>
      </c>
      <c r="K22" s="216">
        <v>-2.7777777777777776E-2</v>
      </c>
      <c r="L22" s="41">
        <v>60000</v>
      </c>
      <c r="M22" s="41">
        <v>29271.63</v>
      </c>
      <c r="N22" s="42">
        <v>30728.37</v>
      </c>
      <c r="O22" s="216">
        <v>0.33333333333333331</v>
      </c>
      <c r="P22" s="216"/>
      <c r="Q22" s="41">
        <v>60000</v>
      </c>
      <c r="R22" s="41">
        <v>32859.29</v>
      </c>
      <c r="S22" s="316">
        <v>27140.71</v>
      </c>
      <c r="T22" s="216">
        <f t="shared" si="0"/>
        <v>0</v>
      </c>
      <c r="U22" s="216"/>
      <c r="V22" s="41">
        <f>'196-Selectmens Maintenance'!AF16</f>
        <v>60000</v>
      </c>
      <c r="W22" s="425">
        <f>'196-Selectmens Maintenance'!AG16</f>
        <v>60000</v>
      </c>
      <c r="X22" s="41">
        <f>'196-Selectmens Maintenance'!AH16</f>
        <v>10045.030000000001</v>
      </c>
      <c r="Y22" s="42">
        <f t="shared" si="3"/>
        <v>49954.97</v>
      </c>
      <c r="Z22" s="281">
        <f t="shared" si="4"/>
        <v>0</v>
      </c>
      <c r="AA22" s="216"/>
      <c r="AB22" s="43">
        <f>'196-Selectmens Maintenance'!AK16</f>
        <v>58000</v>
      </c>
      <c r="AC22" s="41">
        <f t="shared" si="12"/>
        <v>-2000</v>
      </c>
      <c r="AD22" s="89">
        <f t="shared" si="5"/>
        <v>-3.3333333333333333E-2</v>
      </c>
      <c r="AE22" s="506" t="e">
        <f t="shared" ca="1" si="1"/>
        <v>#NAME?</v>
      </c>
      <c r="AF22" s="506"/>
      <c r="AG22" s="43">
        <f>'196-Selectmens Maintenance'!AO16</f>
        <v>50000</v>
      </c>
      <c r="AH22" s="41">
        <f t="shared" si="13"/>
        <v>-8000</v>
      </c>
      <c r="AI22" s="89">
        <f t="shared" si="6"/>
        <v>-0.13793103448275862</v>
      </c>
      <c r="AJ22" s="506">
        <f t="shared" si="14"/>
        <v>4.8993937404768649E-3</v>
      </c>
      <c r="AK22" s="44">
        <f t="shared" si="7"/>
        <v>-10000</v>
      </c>
      <c r="AL22" s="207">
        <f t="shared" si="2"/>
        <v>-0.16666666666666666</v>
      </c>
      <c r="AM22" s="207">
        <f t="shared" si="8"/>
        <v>-5.5555555555555552E-2</v>
      </c>
      <c r="AO22" s="44">
        <f t="shared" si="9"/>
        <v>17946.849999999999</v>
      </c>
      <c r="AP22" s="207">
        <f t="shared" si="10"/>
        <v>0.55990908849832222</v>
      </c>
      <c r="AQ22" s="436">
        <f t="shared" si="11"/>
        <v>0.11198181769966445</v>
      </c>
    </row>
    <row r="23" spans="1:43" ht="19.5" customHeight="1" x14ac:dyDescent="0.3">
      <c r="A23" s="27" t="s">
        <v>1038</v>
      </c>
      <c r="B23" s="40">
        <v>198</v>
      </c>
      <c r="C23" s="45" t="s">
        <v>1955</v>
      </c>
      <c r="D23" s="41">
        <v>19200</v>
      </c>
      <c r="E23" s="41">
        <v>16091.95</v>
      </c>
      <c r="F23" s="42">
        <v>3108.0499999999993</v>
      </c>
      <c r="G23" s="396">
        <v>1</v>
      </c>
      <c r="H23" s="41">
        <v>20200</v>
      </c>
      <c r="I23" s="41">
        <v>21601.21</v>
      </c>
      <c r="J23" s="42">
        <v>-1401.2099999999991</v>
      </c>
      <c r="K23" s="216">
        <v>1</v>
      </c>
      <c r="L23" s="41">
        <v>20200</v>
      </c>
      <c r="M23" s="41">
        <v>29487.61</v>
      </c>
      <c r="N23" s="42">
        <v>-9287.61</v>
      </c>
      <c r="O23" s="216">
        <v>0</v>
      </c>
      <c r="P23" s="216"/>
      <c r="Q23" s="41">
        <v>20200</v>
      </c>
      <c r="R23" s="41">
        <v>20728.900000000001</v>
      </c>
      <c r="S23" s="42">
        <v>-528.90000000000146</v>
      </c>
      <c r="T23" s="216">
        <f t="shared" si="0"/>
        <v>0</v>
      </c>
      <c r="U23" s="216"/>
      <c r="V23" s="41">
        <f>'198-Town Owned Property'!AG26</f>
        <v>22333</v>
      </c>
      <c r="W23" s="425">
        <f>'198-Town Owned Property'!AG26</f>
        <v>22333</v>
      </c>
      <c r="X23" s="41">
        <f>'198-Town Owned Property'!AH26</f>
        <v>21127.46</v>
      </c>
      <c r="Y23" s="42">
        <f t="shared" si="3"/>
        <v>1205.5400000000009</v>
      </c>
      <c r="Z23" s="281">
        <f t="shared" si="4"/>
        <v>0.10559405940594059</v>
      </c>
      <c r="AA23" s="216"/>
      <c r="AB23" s="43">
        <f>'198-Town Owned Property'!AK26</f>
        <v>24133</v>
      </c>
      <c r="AC23" s="41">
        <f t="shared" si="12"/>
        <v>1800</v>
      </c>
      <c r="AD23" s="89">
        <f t="shared" si="5"/>
        <v>8.0598217883849008E-2</v>
      </c>
      <c r="AE23" s="506" t="e">
        <f t="shared" ca="1" si="1"/>
        <v>#NAME?</v>
      </c>
      <c r="AF23" s="506"/>
      <c r="AG23" s="43">
        <f>'198-Town Owned Property'!AO26</f>
        <v>32533</v>
      </c>
      <c r="AH23" s="41">
        <f t="shared" si="13"/>
        <v>8400</v>
      </c>
      <c r="AI23" s="89">
        <f t="shared" si="6"/>
        <v>0.34807110595450214</v>
      </c>
      <c r="AJ23" s="506">
        <f t="shared" si="14"/>
        <v>3.1878395311786766E-3</v>
      </c>
      <c r="AK23" s="44">
        <f t="shared" si="7"/>
        <v>12333</v>
      </c>
      <c r="AL23" s="207">
        <f t="shared" si="2"/>
        <v>0.61054455445544553</v>
      </c>
      <c r="AM23" s="207">
        <f t="shared" si="8"/>
        <v>0.2035148514851485</v>
      </c>
      <c r="AO23" s="44">
        <f t="shared" si="9"/>
        <v>13333</v>
      </c>
      <c r="AP23" s="207">
        <f t="shared" si="10"/>
        <v>0.69442708333333336</v>
      </c>
      <c r="AQ23" s="436">
        <f t="shared" si="11"/>
        <v>0.13888541666666668</v>
      </c>
    </row>
    <row r="24" spans="1:43" ht="19.5" customHeight="1" x14ac:dyDescent="0.3">
      <c r="A24" s="27" t="s">
        <v>1039</v>
      </c>
      <c r="B24" s="40" t="s">
        <v>142</v>
      </c>
      <c r="C24" s="45" t="s">
        <v>1956</v>
      </c>
      <c r="D24" s="41">
        <v>68000</v>
      </c>
      <c r="E24" s="41">
        <v>67167.66</v>
      </c>
      <c r="F24" s="42">
        <v>832.33999999999651</v>
      </c>
      <c r="G24" s="396">
        <v>-1.4903129657228018E-3</v>
      </c>
      <c r="H24" s="41">
        <v>68780</v>
      </c>
      <c r="I24" s="41">
        <v>70763.31</v>
      </c>
      <c r="J24" s="42">
        <v>-1983.3099999999977</v>
      </c>
      <c r="K24" s="216">
        <v>-1.4903129657228018E-3</v>
      </c>
      <c r="L24" s="41">
        <v>69466.14</v>
      </c>
      <c r="M24" s="41">
        <v>71055.820000000007</v>
      </c>
      <c r="N24" s="42">
        <v>-1589.6800000000076</v>
      </c>
      <c r="O24" s="216">
        <v>9.9758650770572759E-3</v>
      </c>
      <c r="P24" s="216"/>
      <c r="Q24" s="41">
        <v>70500</v>
      </c>
      <c r="R24" s="41">
        <v>71406.899999999994</v>
      </c>
      <c r="S24" s="42">
        <v>-906.89999999999418</v>
      </c>
      <c r="T24" s="216">
        <f t="shared" si="0"/>
        <v>1.4882934333187372E-2</v>
      </c>
      <c r="U24" s="216"/>
      <c r="V24" s="41">
        <f>'199-Comfort Station'!AF25</f>
        <v>72040</v>
      </c>
      <c r="W24" s="425">
        <f>'199-Comfort Station'!AG25</f>
        <v>72040</v>
      </c>
      <c r="X24" s="41">
        <f>'199-Comfort Station'!AH25</f>
        <v>72716.31</v>
      </c>
      <c r="Y24" s="42">
        <f t="shared" si="3"/>
        <v>-676.30999999999767</v>
      </c>
      <c r="Z24" s="281">
        <f t="shared" si="4"/>
        <v>2.1843971631205675E-2</v>
      </c>
      <c r="AA24" s="216"/>
      <c r="AB24" s="43">
        <f>'199-Comfort Station'!AK25</f>
        <v>82800</v>
      </c>
      <c r="AC24" s="41">
        <f t="shared" si="12"/>
        <v>10760</v>
      </c>
      <c r="AD24" s="89">
        <f t="shared" si="5"/>
        <v>0.14936146585230428</v>
      </c>
      <c r="AE24" s="506" t="e">
        <f t="shared" ca="1" si="1"/>
        <v>#NAME?</v>
      </c>
      <c r="AF24" s="506"/>
      <c r="AG24" s="43">
        <f>'199-Comfort Station'!AO25</f>
        <v>89300</v>
      </c>
      <c r="AH24" s="41">
        <f>AG24-AB24</f>
        <v>6500</v>
      </c>
      <c r="AI24" s="89">
        <f t="shared" si="6"/>
        <v>7.85024154589372E-2</v>
      </c>
      <c r="AJ24" s="506">
        <f t="shared" si="14"/>
        <v>8.750317220491681E-3</v>
      </c>
      <c r="AK24" s="44">
        <f t="shared" si="7"/>
        <v>19833.86</v>
      </c>
      <c r="AL24" s="207">
        <f t="shared" si="2"/>
        <v>0.28551838348870401</v>
      </c>
      <c r="AM24" s="207">
        <f t="shared" si="8"/>
        <v>9.5172794496234669E-2</v>
      </c>
      <c r="AO24" s="44">
        <f t="shared" si="9"/>
        <v>21300</v>
      </c>
      <c r="AP24" s="207">
        <f t="shared" si="10"/>
        <v>0.31323529411764706</v>
      </c>
      <c r="AQ24" s="436">
        <f t="shared" si="11"/>
        <v>6.2647058823529417E-2</v>
      </c>
    </row>
    <row r="25" spans="1:43" s="49" customFormat="1" ht="18.75" customHeight="1" x14ac:dyDescent="0.3">
      <c r="B25" s="46"/>
      <c r="C25" s="47" t="s">
        <v>143</v>
      </c>
      <c r="D25" s="48">
        <f>SUM(D4:D24)</f>
        <v>1039204.53</v>
      </c>
      <c r="E25" s="48">
        <f>SUM(E4:E24)</f>
        <v>1020076.66</v>
      </c>
      <c r="F25" s="48">
        <f>D25-E25</f>
        <v>19127.869999999995</v>
      </c>
      <c r="G25" s="165"/>
      <c r="H25" s="48">
        <f>SUM(H4:H24)</f>
        <v>1092510.78</v>
      </c>
      <c r="I25" s="48">
        <f>SUM(I4:I24)</f>
        <v>1012491.27</v>
      </c>
      <c r="J25" s="48">
        <f>H25-I25</f>
        <v>80019.510000000009</v>
      </c>
      <c r="K25" s="165">
        <f>J25/D25</f>
        <v>7.7000732473712377E-2</v>
      </c>
      <c r="L25" s="48">
        <f>SUM(L4:L24)</f>
        <v>1149792.6599999999</v>
      </c>
      <c r="M25" s="48">
        <f>SUM(M4:M24)</f>
        <v>1051385.6900000002</v>
      </c>
      <c r="N25" s="48">
        <f>L25-M25</f>
        <v>98406.969999999739</v>
      </c>
      <c r="O25" s="165">
        <f>N25/H25</f>
        <v>9.0074140961794211E-2</v>
      </c>
      <c r="P25" s="216"/>
      <c r="Q25" s="48">
        <f>SUM(Q4:Q24)</f>
        <v>1208298.22</v>
      </c>
      <c r="R25" s="48">
        <f>SUM(R4:R24)</f>
        <v>1158853.1599999997</v>
      </c>
      <c r="S25" s="48">
        <f>Q25-R25</f>
        <v>49445.060000000289</v>
      </c>
      <c r="T25" s="165">
        <f>(Q25-L25)/L25</f>
        <v>5.0883574087175039E-2</v>
      </c>
      <c r="U25" s="506">
        <f>Q25/Q64</f>
        <v>0.13336255930905153</v>
      </c>
      <c r="V25" s="48" t="e">
        <f ca="1">SUM(V4:V24)</f>
        <v>#NAME?</v>
      </c>
      <c r="W25" s="48">
        <f>SUM(W4:W24)</f>
        <v>1323127.2100000002</v>
      </c>
      <c r="X25" s="48">
        <f>SUM(X4:X24)</f>
        <v>1196243.4200000004</v>
      </c>
      <c r="Y25" s="48">
        <f t="shared" si="3"/>
        <v>126883.7899999998</v>
      </c>
      <c r="Z25" s="282">
        <f t="shared" si="4"/>
        <v>9.5033649888187563E-2</v>
      </c>
      <c r="AA25" s="506">
        <f>W25/W64</f>
        <v>0.13626455076658064</v>
      </c>
      <c r="AB25" s="48">
        <f>SUM(AB4:AB24)</f>
        <v>1400324.1520600002</v>
      </c>
      <c r="AC25" s="48">
        <f>SUM(AC4:AC24)</f>
        <v>77196.942059999972</v>
      </c>
      <c r="AD25" s="208">
        <f>AC25/W25</f>
        <v>5.8344308450885805E-2</v>
      </c>
      <c r="AE25" s="508" t="e">
        <f ca="1">AB25/$AB$64</f>
        <v>#NAME?</v>
      </c>
      <c r="AF25" s="508"/>
      <c r="AG25" s="48">
        <f>SUM(AG4:AG24)</f>
        <v>1450404.0440400001</v>
      </c>
      <c r="AH25" s="48">
        <f>SUM(AH4:AH24)</f>
        <v>50079.891980000044</v>
      </c>
      <c r="AI25" s="208">
        <f>AH25/AB25</f>
        <v>3.5763070933489301E-2</v>
      </c>
      <c r="AJ25" s="508">
        <f t="shared" si="14"/>
        <v>0.14212200989063814</v>
      </c>
      <c r="AK25" s="51">
        <f>SUM(AK4:AK24)</f>
        <v>300611.38404000003</v>
      </c>
      <c r="AL25" s="209">
        <f t="shared" si="2"/>
        <v>0.2614483415122863</v>
      </c>
      <c r="AM25" s="209">
        <f>AL25/3</f>
        <v>8.7149447170762104E-2</v>
      </c>
      <c r="AO25" s="51">
        <f>SUM(AO4:AO24)</f>
        <v>411199.5140400001</v>
      </c>
      <c r="AP25" s="209">
        <f>AO25/D25</f>
        <v>0.3956867990558125</v>
      </c>
      <c r="AQ25" s="209">
        <f>AP25/5</f>
        <v>7.9137359811162503E-2</v>
      </c>
    </row>
    <row r="26" spans="1:43" ht="19.5" customHeight="1" x14ac:dyDescent="0.3">
      <c r="A26" s="27" t="s">
        <v>993</v>
      </c>
      <c r="B26" s="40" t="s">
        <v>144</v>
      </c>
      <c r="C26" s="45" t="s">
        <v>13</v>
      </c>
      <c r="D26" s="41">
        <v>627934.02</v>
      </c>
      <c r="E26" s="41">
        <v>619600.81999999995</v>
      </c>
      <c r="F26" s="42">
        <v>8333.2000000000698</v>
      </c>
      <c r="G26" s="396">
        <v>7.2681663287676626E-2</v>
      </c>
      <c r="H26" s="41">
        <v>648070.05000000005</v>
      </c>
      <c r="I26" s="41">
        <v>614744.54</v>
      </c>
      <c r="J26" s="42">
        <v>33325.510000000009</v>
      </c>
      <c r="K26" s="216">
        <v>7.2681663287676626E-2</v>
      </c>
      <c r="L26" s="41">
        <v>658942.34</v>
      </c>
      <c r="M26" s="41">
        <v>651912.36</v>
      </c>
      <c r="N26" s="42">
        <v>7029.9799999999814</v>
      </c>
      <c r="O26" s="216">
        <v>1.6776411747464522E-2</v>
      </c>
      <c r="P26" s="216"/>
      <c r="Q26" s="41">
        <v>675518.39</v>
      </c>
      <c r="R26" s="41">
        <v>648056.02</v>
      </c>
      <c r="S26" s="42">
        <v>27462.369999999995</v>
      </c>
      <c r="T26" s="216">
        <f t="shared" ref="T26:T40" si="15">(Q26-L26)/L26</f>
        <v>2.5155539405769627E-2</v>
      </c>
      <c r="U26" s="216"/>
      <c r="V26" s="41">
        <f>'210-Police Dept'!AF54</f>
        <v>707109.90999999992</v>
      </c>
      <c r="W26" s="425">
        <f>'210-Police Dept'!AG54</f>
        <v>714293.06</v>
      </c>
      <c r="X26" s="41">
        <f>'210-Police Dept'!AH54</f>
        <v>669520.52</v>
      </c>
      <c r="Y26" s="42">
        <f t="shared" si="3"/>
        <v>44772.540000000037</v>
      </c>
      <c r="Z26" s="281">
        <f t="shared" si="4"/>
        <v>5.7399873303227232E-2</v>
      </c>
      <c r="AA26" s="216"/>
      <c r="AB26" s="43">
        <f>'210-Police Dept'!AK54</f>
        <v>732510.36</v>
      </c>
      <c r="AC26" s="41">
        <f t="shared" ref="AC26:AC34" si="16">AB26-W26</f>
        <v>18217.29999999993</v>
      </c>
      <c r="AD26" s="89">
        <f t="shared" ref="AD26:AD34" si="17">AC26/W26</f>
        <v>2.5503957717298735E-2</v>
      </c>
      <c r="AE26" s="506" t="e">
        <f ca="1">AB26/$AB$64</f>
        <v>#NAME?</v>
      </c>
      <c r="AF26" s="506"/>
      <c r="AG26" s="43">
        <f>'210-Police Dept'!AO54</f>
        <v>806071.03910000005</v>
      </c>
      <c r="AH26" s="41">
        <f t="shared" ref="AH26:AH34" si="18">AG26-AB26</f>
        <v>73560.679100000067</v>
      </c>
      <c r="AI26" s="89">
        <f t="shared" ref="AI26:AI34" si="19">AH26/AB26</f>
        <v>0.10042271497702786</v>
      </c>
      <c r="AJ26" s="506">
        <f t="shared" si="14"/>
        <v>7.898518806692445E-2</v>
      </c>
      <c r="AK26" s="44">
        <f t="shared" ref="AK26:AK34" si="20">AG26-L26</f>
        <v>147128.69910000009</v>
      </c>
      <c r="AL26" s="207">
        <f t="shared" si="2"/>
        <v>0.22328008107659328</v>
      </c>
      <c r="AM26" s="207">
        <f t="shared" si="8"/>
        <v>7.442669369219776E-2</v>
      </c>
      <c r="AO26" s="44">
        <f t="shared" ref="AO26:AO34" si="21">AG26-D26</f>
        <v>178137.01910000003</v>
      </c>
      <c r="AP26" s="207">
        <f t="shared" si="10"/>
        <v>0.28368747898067387</v>
      </c>
      <c r="AQ26" s="436">
        <f t="shared" si="11"/>
        <v>5.6737495796134775E-2</v>
      </c>
    </row>
    <row r="27" spans="1:43" ht="19.5" customHeight="1" x14ac:dyDescent="0.3">
      <c r="A27" s="27" t="s">
        <v>994</v>
      </c>
      <c r="B27" s="40" t="s">
        <v>145</v>
      </c>
      <c r="C27" s="45" t="s">
        <v>14</v>
      </c>
      <c r="D27" s="41">
        <v>143426.51999999999</v>
      </c>
      <c r="E27" s="41">
        <v>134794.51999999999</v>
      </c>
      <c r="F27" s="42">
        <v>8632</v>
      </c>
      <c r="G27" s="396">
        <v>4.4609756463995495E-2</v>
      </c>
      <c r="H27" s="41">
        <v>148785</v>
      </c>
      <c r="I27" s="41">
        <v>135726.28</v>
      </c>
      <c r="J27" s="42">
        <v>13058.720000000001</v>
      </c>
      <c r="K27" s="216">
        <v>4.4609756463995495E-2</v>
      </c>
      <c r="L27" s="41">
        <v>157778.69</v>
      </c>
      <c r="M27" s="41">
        <v>148677.46</v>
      </c>
      <c r="N27" s="42">
        <v>9101.2300000000105</v>
      </c>
      <c r="O27" s="216">
        <v>6.0447558557650313E-2</v>
      </c>
      <c r="P27" s="216"/>
      <c r="Q27" s="41">
        <v>156694.65</v>
      </c>
      <c r="R27" s="41">
        <v>144128.82999999999</v>
      </c>
      <c r="S27" s="42">
        <v>12565.820000000007</v>
      </c>
      <c r="T27" s="216">
        <f t="shared" si="15"/>
        <v>-6.8706363324477354E-3</v>
      </c>
      <c r="U27" s="216"/>
      <c r="V27" s="41" t="e">
        <f ca="1">'220-Fire Dept'!AF47</f>
        <v>#NAME?</v>
      </c>
      <c r="W27" s="425">
        <f>'220-Fire Dept'!AG47</f>
        <v>172548.03</v>
      </c>
      <c r="X27" s="41">
        <f>'220-Fire Dept'!AH47</f>
        <v>155182.94</v>
      </c>
      <c r="Y27" s="42">
        <f t="shared" si="3"/>
        <v>17365.089999999997</v>
      </c>
      <c r="Z27" s="281">
        <f t="shared" si="4"/>
        <v>0.10117371588627949</v>
      </c>
      <c r="AA27" s="216"/>
      <c r="AB27" s="43">
        <f>'220-Fire Dept'!AK47</f>
        <v>203856.6</v>
      </c>
      <c r="AC27" s="41">
        <f t="shared" si="16"/>
        <v>31308.570000000007</v>
      </c>
      <c r="AD27" s="89">
        <f t="shared" si="17"/>
        <v>0.18144843496619467</v>
      </c>
      <c r="AE27" s="506" t="e">
        <f ca="1">AB27/$AB$64</f>
        <v>#NAME?</v>
      </c>
      <c r="AF27" s="506"/>
      <c r="AG27" s="43">
        <f>'220-Fire Dept'!AO47</f>
        <v>221875.46</v>
      </c>
      <c r="AH27" s="41">
        <f t="shared" si="18"/>
        <v>18018.859999999986</v>
      </c>
      <c r="AI27" s="89">
        <f t="shared" si="19"/>
        <v>8.838987798285651E-2</v>
      </c>
      <c r="AJ27" s="506">
        <f t="shared" si="14"/>
        <v>2.1741104797788499E-2</v>
      </c>
      <c r="AK27" s="44">
        <f t="shared" si="20"/>
        <v>64096.76999999999</v>
      </c>
      <c r="AL27" s="207">
        <f t="shared" si="2"/>
        <v>0.40624478502134848</v>
      </c>
      <c r="AM27" s="207">
        <f t="shared" si="8"/>
        <v>0.13541492834044949</v>
      </c>
      <c r="AO27" s="44">
        <f t="shared" si="21"/>
        <v>78448.94</v>
      </c>
      <c r="AP27" s="207">
        <f t="shared" si="10"/>
        <v>0.54696258404652087</v>
      </c>
      <c r="AQ27" s="436">
        <f t="shared" si="11"/>
        <v>0.10939251680930417</v>
      </c>
    </row>
    <row r="28" spans="1:43" ht="19.5" customHeight="1" x14ac:dyDescent="0.3">
      <c r="A28" s="27" t="s">
        <v>995</v>
      </c>
      <c r="B28" s="40" t="s">
        <v>146</v>
      </c>
      <c r="C28" s="45" t="s">
        <v>1957</v>
      </c>
      <c r="D28" s="41">
        <v>182600.72</v>
      </c>
      <c r="E28" s="41">
        <v>182557</v>
      </c>
      <c r="F28" s="42">
        <v>43.720000000001164</v>
      </c>
      <c r="G28" s="396">
        <v>7.4492398228104897E-2</v>
      </c>
      <c r="H28" s="41">
        <v>197508.73</v>
      </c>
      <c r="I28" s="41">
        <v>197508.73</v>
      </c>
      <c r="J28" s="42">
        <v>0</v>
      </c>
      <c r="K28" s="216">
        <v>7.4492398228104897E-2</v>
      </c>
      <c r="L28" s="41">
        <v>265062.03999999998</v>
      </c>
      <c r="M28" s="41">
        <v>265062.03999999998</v>
      </c>
      <c r="N28" s="42">
        <v>0</v>
      </c>
      <c r="O28" s="216">
        <v>0.34202695749195472</v>
      </c>
      <c r="P28" s="216"/>
      <c r="Q28" s="41">
        <v>260151.74</v>
      </c>
      <c r="R28" s="41">
        <v>231895.82</v>
      </c>
      <c r="S28" s="42">
        <v>28255.919999999984</v>
      </c>
      <c r="T28" s="216">
        <f t="shared" si="15"/>
        <v>-1.8525096992387097E-2</v>
      </c>
      <c r="U28" s="216"/>
      <c r="V28" s="41" t="e">
        <f ca="1">'230.231-Ambulance'!AF83</f>
        <v>#NAME?</v>
      </c>
      <c r="W28" s="425">
        <v>277734.24</v>
      </c>
      <c r="X28" s="41"/>
      <c r="Y28" s="42">
        <f t="shared" si="3"/>
        <v>277734.24</v>
      </c>
      <c r="Z28" s="281">
        <f t="shared" si="4"/>
        <v>6.758555602972327E-2</v>
      </c>
      <c r="AA28" s="216"/>
      <c r="AB28" s="43">
        <f>'230.231-Ambulance'!AK83</f>
        <v>363691.18</v>
      </c>
      <c r="AC28" s="41">
        <f t="shared" si="16"/>
        <v>85956.94</v>
      </c>
      <c r="AD28" s="89">
        <f t="shared" si="17"/>
        <v>0.30949349277208316</v>
      </c>
      <c r="AE28" s="506" t="e">
        <f t="shared" ref="AE28:AE44" ca="1" si="22">AB28/$AB$64</f>
        <v>#NAME?</v>
      </c>
      <c r="AF28" s="506"/>
      <c r="AG28" s="43">
        <f>'230.231-Ambulance'!AO83</f>
        <v>371290.03308333334</v>
      </c>
      <c r="AH28" s="41">
        <f t="shared" si="18"/>
        <v>7598.8530833333498</v>
      </c>
      <c r="AI28" s="89">
        <f t="shared" si="19"/>
        <v>2.089369635890909E-2</v>
      </c>
      <c r="AJ28" s="506">
        <f t="shared" si="14"/>
        <v>3.6381921279798626E-2</v>
      </c>
      <c r="AK28" s="44">
        <f t="shared" si="20"/>
        <v>106227.99308333336</v>
      </c>
      <c r="AL28" s="207">
        <f t="shared" si="2"/>
        <v>0.40076652652086042</v>
      </c>
      <c r="AM28" s="207">
        <f t="shared" si="8"/>
        <v>0.13358884217362013</v>
      </c>
      <c r="AO28" s="44">
        <f t="shared" si="21"/>
        <v>188689.31308333334</v>
      </c>
      <c r="AP28" s="207">
        <f t="shared" si="10"/>
        <v>1.0333437517844033</v>
      </c>
      <c r="AQ28" s="436">
        <f t="shared" si="11"/>
        <v>0.20666875035688065</v>
      </c>
    </row>
    <row r="29" spans="1:43" ht="19.5" customHeight="1" x14ac:dyDescent="0.3">
      <c r="A29" s="27" t="s">
        <v>996</v>
      </c>
      <c r="B29" s="40" t="s">
        <v>147</v>
      </c>
      <c r="C29" s="45" t="s">
        <v>15</v>
      </c>
      <c r="D29" s="41">
        <v>39637.519999999997</v>
      </c>
      <c r="E29" s="41">
        <v>58351.34</v>
      </c>
      <c r="F29" s="42">
        <v>-18713.82</v>
      </c>
      <c r="G29" s="396">
        <v>3.1345615794752618E-2</v>
      </c>
      <c r="H29" s="41">
        <v>40193.199999999997</v>
      </c>
      <c r="I29" s="41">
        <v>57505.69</v>
      </c>
      <c r="J29" s="42">
        <v>-17312.490000000005</v>
      </c>
      <c r="K29" s="216">
        <v>3.1345615794752618E-2</v>
      </c>
      <c r="L29" s="41">
        <v>41105.410000000003</v>
      </c>
      <c r="M29" s="41">
        <v>41105.410000000003</v>
      </c>
      <c r="N29" s="42">
        <v>0</v>
      </c>
      <c r="O29" s="216">
        <v>2.2695630106585353E-2</v>
      </c>
      <c r="P29" s="216"/>
      <c r="Q29" s="41">
        <v>58644.69</v>
      </c>
      <c r="R29" s="41">
        <v>66323.53</v>
      </c>
      <c r="S29" s="42">
        <v>-7678.8399999999965</v>
      </c>
      <c r="T29" s="216">
        <f t="shared" si="15"/>
        <v>0.4266903067017212</v>
      </c>
      <c r="U29" s="216"/>
      <c r="V29" s="41">
        <f>'241-Building Inspections'!AF24</f>
        <v>61640.350000000006</v>
      </c>
      <c r="W29" s="425">
        <f>'241-Building Inspections'!AG24</f>
        <v>62434.59</v>
      </c>
      <c r="X29" s="41">
        <f>'241-Building Inspections'!AH24</f>
        <v>70611.040000000008</v>
      </c>
      <c r="Y29" s="42">
        <f t="shared" si="3"/>
        <v>-8176.4500000000116</v>
      </c>
      <c r="Z29" s="281">
        <f t="shared" si="4"/>
        <v>6.4624776770070641E-2</v>
      </c>
      <c r="AA29" s="216"/>
      <c r="AB29" s="43">
        <f>'241-Building Inspections'!AK24</f>
        <v>65720.23</v>
      </c>
      <c r="AC29" s="41">
        <f t="shared" si="16"/>
        <v>3285.6399999999994</v>
      </c>
      <c r="AD29" s="89">
        <f t="shared" si="17"/>
        <v>5.2625315550242253E-2</v>
      </c>
      <c r="AE29" s="506" t="e">
        <f t="shared" ca="1" si="22"/>
        <v>#NAME?</v>
      </c>
      <c r="AF29" s="506"/>
      <c r="AG29" s="43">
        <f>'241-Building Inspections'!AO24</f>
        <v>73839.535839999997</v>
      </c>
      <c r="AH29" s="41">
        <f t="shared" si="18"/>
        <v>8119.3058400000009</v>
      </c>
      <c r="AI29" s="89">
        <f t="shared" si="19"/>
        <v>0.12354347877358313</v>
      </c>
      <c r="AJ29" s="506">
        <f t="shared" si="14"/>
        <v>7.2353791938842621E-3</v>
      </c>
      <c r="AK29" s="44">
        <f t="shared" si="20"/>
        <v>32734.125839999993</v>
      </c>
      <c r="AL29" s="207">
        <f t="shared" si="2"/>
        <v>0.79634592721493325</v>
      </c>
      <c r="AM29" s="207">
        <f t="shared" si="8"/>
        <v>0.26544864240497773</v>
      </c>
      <c r="AO29" s="44">
        <f t="shared" si="21"/>
        <v>34202.01584</v>
      </c>
      <c r="AP29" s="207">
        <f t="shared" si="10"/>
        <v>0.86286972141546703</v>
      </c>
      <c r="AQ29" s="436">
        <f t="shared" si="11"/>
        <v>0.17257394428309342</v>
      </c>
    </row>
    <row r="30" spans="1:43" ht="19.5" customHeight="1" x14ac:dyDescent="0.3">
      <c r="A30" s="27" t="s">
        <v>997</v>
      </c>
      <c r="B30" s="40" t="s">
        <v>148</v>
      </c>
      <c r="C30" s="45" t="s">
        <v>16</v>
      </c>
      <c r="D30" s="41">
        <v>5150</v>
      </c>
      <c r="E30" s="41">
        <v>2947.85</v>
      </c>
      <c r="F30" s="42">
        <v>2202.15</v>
      </c>
      <c r="G30" s="396">
        <v>0</v>
      </c>
      <c r="H30" s="41">
        <v>5150</v>
      </c>
      <c r="I30" s="41">
        <v>3382.39</v>
      </c>
      <c r="J30" s="42">
        <v>1767.6100000000001</v>
      </c>
      <c r="K30" s="216">
        <v>0</v>
      </c>
      <c r="L30" s="41">
        <v>5150</v>
      </c>
      <c r="M30" s="41">
        <v>4943.55</v>
      </c>
      <c r="N30" s="42">
        <v>206.44999999999982</v>
      </c>
      <c r="O30" s="216">
        <v>0</v>
      </c>
      <c r="P30" s="216"/>
      <c r="Q30" s="41">
        <v>5150</v>
      </c>
      <c r="R30" s="41">
        <v>4378.76</v>
      </c>
      <c r="S30" s="42">
        <v>771.23999999999978</v>
      </c>
      <c r="T30" s="216">
        <f t="shared" si="15"/>
        <v>0</v>
      </c>
      <c r="U30" s="216"/>
      <c r="V30" s="41">
        <f>'291-Emergency Mgt'!AF21</f>
        <v>5150</v>
      </c>
      <c r="W30" s="425">
        <f>'291-Emergency Mgt'!AG21</f>
        <v>5150</v>
      </c>
      <c r="X30" s="41">
        <f>'291-Emergency Mgt'!AH21</f>
        <v>1564.8600000000001</v>
      </c>
      <c r="Y30" s="42">
        <f t="shared" si="3"/>
        <v>3585.14</v>
      </c>
      <c r="Z30" s="281">
        <f t="shared" si="4"/>
        <v>0</v>
      </c>
      <c r="AA30" s="216"/>
      <c r="AB30" s="43">
        <f>'291-Emergency Mgt'!AK21</f>
        <v>8560</v>
      </c>
      <c r="AC30" s="41">
        <f t="shared" si="16"/>
        <v>3410</v>
      </c>
      <c r="AD30" s="89">
        <f t="shared" si="17"/>
        <v>0.6621359223300971</v>
      </c>
      <c r="AE30" s="506" t="e">
        <f t="shared" ca="1" si="22"/>
        <v>#NAME?</v>
      </c>
      <c r="AF30" s="506"/>
      <c r="AG30" s="43">
        <f>'291-Emergency Mgt'!AO21</f>
        <v>9160</v>
      </c>
      <c r="AH30" s="41">
        <f t="shared" si="18"/>
        <v>600</v>
      </c>
      <c r="AI30" s="89">
        <f t="shared" si="19"/>
        <v>7.0093457943925228E-2</v>
      </c>
      <c r="AJ30" s="506">
        <f t="shared" si="14"/>
        <v>8.9756893325536162E-4</v>
      </c>
      <c r="AK30" s="44">
        <f t="shared" si="20"/>
        <v>4010</v>
      </c>
      <c r="AL30" s="207">
        <f t="shared" si="2"/>
        <v>0.77864077669902909</v>
      </c>
      <c r="AM30" s="207">
        <f t="shared" si="8"/>
        <v>0.25954692556634301</v>
      </c>
      <c r="AO30" s="44">
        <f t="shared" si="21"/>
        <v>4010</v>
      </c>
      <c r="AP30" s="207">
        <f t="shared" si="10"/>
        <v>0.77864077669902909</v>
      </c>
      <c r="AQ30" s="436">
        <f t="shared" si="11"/>
        <v>0.15572815533980583</v>
      </c>
    </row>
    <row r="31" spans="1:43" ht="19.5" customHeight="1" x14ac:dyDescent="0.3">
      <c r="A31" s="27" t="s">
        <v>998</v>
      </c>
      <c r="B31" s="40" t="s">
        <v>149</v>
      </c>
      <c r="C31" s="45" t="s">
        <v>1509</v>
      </c>
      <c r="D31" s="41">
        <v>17304.75</v>
      </c>
      <c r="E31" s="41">
        <v>15314.8</v>
      </c>
      <c r="F31" s="42">
        <v>1989.9500000000007</v>
      </c>
      <c r="G31" s="396">
        <v>2.277022147327868E-2</v>
      </c>
      <c r="H31" s="41">
        <v>17003.599999999999</v>
      </c>
      <c r="I31" s="41">
        <v>15573.63</v>
      </c>
      <c r="J31" s="42">
        <v>1429.9699999999993</v>
      </c>
      <c r="K31" s="216">
        <v>2.277022147327868E-2</v>
      </c>
      <c r="L31" s="41">
        <v>17000</v>
      </c>
      <c r="M31" s="41">
        <v>16904.580000000002</v>
      </c>
      <c r="N31" s="42">
        <v>95.419999999998254</v>
      </c>
      <c r="O31" s="216">
        <v>-2.1171987108603736E-4</v>
      </c>
      <c r="P31" s="216"/>
      <c r="Q31" s="41">
        <v>17140</v>
      </c>
      <c r="R31" s="41">
        <v>15864.96</v>
      </c>
      <c r="S31" s="42">
        <v>1275.0400000000009</v>
      </c>
      <c r="T31" s="216">
        <f t="shared" si="15"/>
        <v>8.2352941176470594E-3</v>
      </c>
      <c r="U31" s="216"/>
      <c r="V31" s="41">
        <f>'292-ACO'!AF20</f>
        <v>17285</v>
      </c>
      <c r="W31" s="425">
        <f>'292-ACO'!AG20</f>
        <v>17295</v>
      </c>
      <c r="X31" s="41">
        <f>'292-ACO'!AH20</f>
        <v>15403</v>
      </c>
      <c r="Y31" s="42">
        <f t="shared" si="3"/>
        <v>1892</v>
      </c>
      <c r="Z31" s="281">
        <f t="shared" si="4"/>
        <v>9.0431738623103844E-3</v>
      </c>
      <c r="AA31" s="216"/>
      <c r="AB31" s="43">
        <f>'292-ACO'!AK20</f>
        <v>17790</v>
      </c>
      <c r="AC31" s="41">
        <f t="shared" si="16"/>
        <v>495</v>
      </c>
      <c r="AD31" s="89">
        <f t="shared" si="17"/>
        <v>2.8620988725065046E-2</v>
      </c>
      <c r="AE31" s="506" t="e">
        <f t="shared" ca="1" si="22"/>
        <v>#NAME?</v>
      </c>
      <c r="AF31" s="506"/>
      <c r="AG31" s="43">
        <f>'292-ACO'!AO20</f>
        <v>18259.5</v>
      </c>
      <c r="AH31" s="41">
        <f t="shared" si="18"/>
        <v>469.5</v>
      </c>
      <c r="AI31" s="89">
        <f t="shared" si="19"/>
        <v>2.6391231028667791E-2</v>
      </c>
      <c r="AJ31" s="506">
        <f t="shared" si="14"/>
        <v>1.7892096000847462E-3</v>
      </c>
      <c r="AK31" s="44">
        <f t="shared" si="20"/>
        <v>1259.5</v>
      </c>
      <c r="AL31" s="207">
        <f t="shared" si="2"/>
        <v>7.4088235294117649E-2</v>
      </c>
      <c r="AM31" s="207">
        <f t="shared" si="8"/>
        <v>2.4696078431372549E-2</v>
      </c>
      <c r="AO31" s="44">
        <f t="shared" si="21"/>
        <v>954.75</v>
      </c>
      <c r="AP31" s="207">
        <f t="shared" si="10"/>
        <v>5.5172712694491394E-2</v>
      </c>
      <c r="AQ31" s="436">
        <f t="shared" si="11"/>
        <v>1.1034542538898278E-2</v>
      </c>
    </row>
    <row r="32" spans="1:43" ht="19.5" customHeight="1" x14ac:dyDescent="0.3">
      <c r="A32" s="27" t="s">
        <v>999</v>
      </c>
      <c r="B32" s="40" t="s">
        <v>150</v>
      </c>
      <c r="C32" s="45" t="s">
        <v>17</v>
      </c>
      <c r="D32" s="41">
        <v>173201.18</v>
      </c>
      <c r="E32" s="41">
        <v>158391.17000000001</v>
      </c>
      <c r="F32" s="42">
        <v>14810.00999999998</v>
      </c>
      <c r="G32" s="396">
        <v>1.8593425378040748E-2</v>
      </c>
      <c r="H32" s="41">
        <v>168045.92</v>
      </c>
      <c r="I32" s="41">
        <v>159368.9</v>
      </c>
      <c r="J32" s="42">
        <v>8677.0200000000186</v>
      </c>
      <c r="K32" s="216">
        <v>1.8593425378040748E-2</v>
      </c>
      <c r="L32" s="41">
        <v>185554.4</v>
      </c>
      <c r="M32" s="41">
        <v>155279.45000000001</v>
      </c>
      <c r="N32" s="42">
        <v>30274.949999999983</v>
      </c>
      <c r="O32" s="216">
        <v>0.10418866462214602</v>
      </c>
      <c r="P32" s="216"/>
      <c r="Q32" s="41">
        <v>189580.37</v>
      </c>
      <c r="R32" s="41">
        <v>157730.25</v>
      </c>
      <c r="S32" s="42">
        <v>31850.119999999995</v>
      </c>
      <c r="T32" s="216">
        <f t="shared" si="15"/>
        <v>2.1696979430291068E-2</v>
      </c>
      <c r="U32" s="216"/>
      <c r="V32" s="41">
        <f>'295-Harbor'!AF47</f>
        <v>216902.28999999998</v>
      </c>
      <c r="W32" s="425">
        <f>'295-Harbor'!AG47</f>
        <v>223388.25</v>
      </c>
      <c r="X32" s="41">
        <f>'295-Harbor'!AH47</f>
        <v>203597.65</v>
      </c>
      <c r="Y32" s="42">
        <f t="shared" si="3"/>
        <v>19790.600000000006</v>
      </c>
      <c r="Z32" s="281">
        <f t="shared" si="4"/>
        <v>0.1783300665569964</v>
      </c>
      <c r="AA32" s="216"/>
      <c r="AB32" s="43">
        <f>'295-Harbor'!AK47</f>
        <v>218029.62</v>
      </c>
      <c r="AC32" s="41">
        <f t="shared" si="16"/>
        <v>-5358.6300000000047</v>
      </c>
      <c r="AD32" s="89">
        <f t="shared" si="17"/>
        <v>-2.3987967137931401E-2</v>
      </c>
      <c r="AE32" s="506" t="e">
        <f t="shared" ca="1" si="22"/>
        <v>#NAME?</v>
      </c>
      <c r="AF32" s="506"/>
      <c r="AG32" s="43">
        <f>'295-Harbor'!AO47</f>
        <v>218304.19999999998</v>
      </c>
      <c r="AH32" s="41">
        <f t="shared" si="18"/>
        <v>274.57999999998719</v>
      </c>
      <c r="AI32" s="89">
        <f t="shared" si="19"/>
        <v>1.2593701718142114E-3</v>
      </c>
      <c r="AJ32" s="506">
        <f t="shared" si="14"/>
        <v>2.1391164619996191E-2</v>
      </c>
      <c r="AK32" s="44">
        <f t="shared" si="20"/>
        <v>32749.799999999988</v>
      </c>
      <c r="AL32" s="207">
        <f t="shared" si="2"/>
        <v>0.17649702728687647</v>
      </c>
      <c r="AM32" s="207">
        <f t="shared" si="8"/>
        <v>5.8832342428958823E-2</v>
      </c>
      <c r="AO32" s="44">
        <f t="shared" si="21"/>
        <v>45103.01999999999</v>
      </c>
      <c r="AP32" s="207">
        <f t="shared" si="10"/>
        <v>0.26040827204525968</v>
      </c>
      <c r="AQ32" s="436">
        <f t="shared" si="11"/>
        <v>5.2081654409051936E-2</v>
      </c>
    </row>
    <row r="33" spans="1:43" ht="19.5" customHeight="1" x14ac:dyDescent="0.3">
      <c r="A33" s="27" t="s">
        <v>1000</v>
      </c>
      <c r="B33" s="40" t="s">
        <v>151</v>
      </c>
      <c r="C33" s="45" t="s">
        <v>18</v>
      </c>
      <c r="D33" s="41">
        <v>1000</v>
      </c>
      <c r="E33" s="41">
        <v>500</v>
      </c>
      <c r="F33" s="42">
        <v>500</v>
      </c>
      <c r="G33" s="396">
        <v>0.4</v>
      </c>
      <c r="H33" s="41">
        <v>1200</v>
      </c>
      <c r="I33" s="41">
        <v>500</v>
      </c>
      <c r="J33" s="42">
        <v>700</v>
      </c>
      <c r="K33" s="216">
        <v>0.4</v>
      </c>
      <c r="L33" s="41">
        <v>1200</v>
      </c>
      <c r="M33" s="41">
        <v>1200</v>
      </c>
      <c r="N33" s="42">
        <v>0</v>
      </c>
      <c r="O33" s="216">
        <v>0</v>
      </c>
      <c r="P33" s="216"/>
      <c r="Q33" s="41">
        <v>1200</v>
      </c>
      <c r="R33" s="41">
        <v>1200</v>
      </c>
      <c r="S33" s="42">
        <v>0</v>
      </c>
      <c r="T33" s="216">
        <f t="shared" si="15"/>
        <v>0</v>
      </c>
      <c r="U33" s="216"/>
      <c r="V33" s="41">
        <f>'296-Animal Inspector'!AF13</f>
        <v>1200</v>
      </c>
      <c r="W33" s="425">
        <f>'296-Animal Inspector'!AG13</f>
        <v>1200</v>
      </c>
      <c r="X33" s="41">
        <f>'296-Animal Inspector'!AH13</f>
        <v>1200</v>
      </c>
      <c r="Y33" s="42">
        <f t="shared" si="3"/>
        <v>0</v>
      </c>
      <c r="Z33" s="281">
        <f t="shared" si="4"/>
        <v>0</v>
      </c>
      <c r="AA33" s="216"/>
      <c r="AB33" s="43">
        <f>'296-Animal Inspector'!AK13</f>
        <v>1200</v>
      </c>
      <c r="AC33" s="41">
        <f t="shared" si="16"/>
        <v>0</v>
      </c>
      <c r="AD33" s="89">
        <f t="shared" si="17"/>
        <v>0</v>
      </c>
      <c r="AE33" s="506" t="e">
        <f t="shared" ca="1" si="22"/>
        <v>#NAME?</v>
      </c>
      <c r="AF33" s="506"/>
      <c r="AG33" s="43">
        <f>'296-Animal Inspector'!AO13</f>
        <v>1200</v>
      </c>
      <c r="AH33" s="41">
        <f t="shared" si="18"/>
        <v>0</v>
      </c>
      <c r="AI33" s="89">
        <f t="shared" si="19"/>
        <v>0</v>
      </c>
      <c r="AJ33" s="506">
        <f t="shared" si="14"/>
        <v>1.1758544977144474E-4</v>
      </c>
      <c r="AK33" s="44">
        <f t="shared" si="20"/>
        <v>0</v>
      </c>
      <c r="AL33" s="207">
        <f t="shared" si="2"/>
        <v>0</v>
      </c>
      <c r="AM33" s="207">
        <f t="shared" si="8"/>
        <v>0</v>
      </c>
      <c r="AO33" s="44">
        <f t="shared" si="21"/>
        <v>200</v>
      </c>
      <c r="AP33" s="207">
        <f t="shared" si="10"/>
        <v>0.2</v>
      </c>
      <c r="AQ33" s="436">
        <f t="shared" si="11"/>
        <v>0.04</v>
      </c>
    </row>
    <row r="34" spans="1:43" ht="19.5" customHeight="1" x14ac:dyDescent="0.3">
      <c r="A34" s="27" t="s">
        <v>1001</v>
      </c>
      <c r="B34" s="40" t="s">
        <v>152</v>
      </c>
      <c r="C34" s="45" t="s">
        <v>19</v>
      </c>
      <c r="D34" s="41">
        <v>135340.79999999999</v>
      </c>
      <c r="E34" s="41">
        <v>128189.73</v>
      </c>
      <c r="F34" s="42">
        <v>7151.0699999999924</v>
      </c>
      <c r="G34" s="396">
        <v>3.1426092266161124E-2</v>
      </c>
      <c r="H34" s="41">
        <v>139532.54</v>
      </c>
      <c r="I34" s="41">
        <v>131697.96</v>
      </c>
      <c r="J34" s="42">
        <v>7834.5800000000163</v>
      </c>
      <c r="K34" s="216">
        <v>3.1426092266161124E-2</v>
      </c>
      <c r="L34" s="41">
        <v>145223.20000000001</v>
      </c>
      <c r="M34" s="41">
        <v>140152.71</v>
      </c>
      <c r="N34" s="42">
        <v>5070.4900000000198</v>
      </c>
      <c r="O34" s="216">
        <v>4.0783748364360051E-2</v>
      </c>
      <c r="P34" s="216"/>
      <c r="Q34" s="41">
        <v>164653.06</v>
      </c>
      <c r="R34" s="41">
        <v>165397.70000000001</v>
      </c>
      <c r="S34" s="42">
        <v>-744.64000000001397</v>
      </c>
      <c r="T34" s="216">
        <f t="shared" si="15"/>
        <v>0.13379308540233231</v>
      </c>
      <c r="U34" s="216"/>
      <c r="V34" s="41">
        <f>'299-Shellfish'!AF30</f>
        <v>166416.58000000002</v>
      </c>
      <c r="W34" s="425">
        <f>'299-Shellfish'!AG30</f>
        <v>170607.41</v>
      </c>
      <c r="X34" s="41">
        <f>'299-Shellfish'!AH30</f>
        <v>166772.97</v>
      </c>
      <c r="Y34" s="42">
        <f t="shared" si="3"/>
        <v>3834.4400000000023</v>
      </c>
      <c r="Z34" s="281">
        <f>(W34-Q34)/Q34</f>
        <v>3.6163008449402678E-2</v>
      </c>
      <c r="AA34" s="216"/>
      <c r="AB34" s="43">
        <f>'299-Shellfish'!AK30</f>
        <v>180012.25</v>
      </c>
      <c r="AC34" s="41">
        <f t="shared" si="16"/>
        <v>9404.8399999999965</v>
      </c>
      <c r="AD34" s="89">
        <f t="shared" si="17"/>
        <v>5.5125624379386548E-2</v>
      </c>
      <c r="AE34" s="506" t="e">
        <f t="shared" ca="1" si="22"/>
        <v>#NAME?</v>
      </c>
      <c r="AF34" s="506"/>
      <c r="AG34" s="43">
        <f>'299-Shellfish'!AO30</f>
        <v>187106.8088</v>
      </c>
      <c r="AH34" s="41">
        <f t="shared" si="18"/>
        <v>7094.5587999999989</v>
      </c>
      <c r="AI34" s="89">
        <f t="shared" si="19"/>
        <v>3.9411533381755959E-2</v>
      </c>
      <c r="AJ34" s="506">
        <f t="shared" si="14"/>
        <v>1.833419855670643E-2</v>
      </c>
      <c r="AK34" s="44">
        <f t="shared" si="20"/>
        <v>41883.608799999987</v>
      </c>
      <c r="AL34" s="207">
        <f t="shared" si="2"/>
        <v>0.28840852425783198</v>
      </c>
      <c r="AM34" s="207">
        <f t="shared" si="8"/>
        <v>9.6136174752610659E-2</v>
      </c>
      <c r="AO34" s="44">
        <f t="shared" si="21"/>
        <v>51766.008800000011</v>
      </c>
      <c r="AP34" s="207">
        <f t="shared" si="10"/>
        <v>0.38248635149193749</v>
      </c>
      <c r="AQ34" s="436">
        <f t="shared" si="11"/>
        <v>7.6497270298387501E-2</v>
      </c>
    </row>
    <row r="35" spans="1:43" s="49" customFormat="1" ht="18.75" customHeight="1" x14ac:dyDescent="0.3">
      <c r="B35" s="46"/>
      <c r="C35" s="47" t="s">
        <v>153</v>
      </c>
      <c r="D35" s="48">
        <f>SUM(D26:D34)</f>
        <v>1325595.51</v>
      </c>
      <c r="E35" s="48">
        <f>SUM(E26:E34)</f>
        <v>1300647.23</v>
      </c>
      <c r="F35" s="48">
        <f>D35-E35</f>
        <v>24948.280000000028</v>
      </c>
      <c r="G35" s="165">
        <v>5.633915321171621E-2</v>
      </c>
      <c r="H35" s="48">
        <f>SUM(H26:H34)</f>
        <v>1365489.04</v>
      </c>
      <c r="I35" s="48">
        <f>SUM(I26:I34)</f>
        <v>1316008.1199999999</v>
      </c>
      <c r="J35" s="48">
        <f>H35-I35</f>
        <v>49480.920000000158</v>
      </c>
      <c r="K35" s="165">
        <v>5.633915321171621E-2</v>
      </c>
      <c r="L35" s="48">
        <f>SUM(L26:L34)</f>
        <v>1477016.0799999998</v>
      </c>
      <c r="M35" s="48">
        <f>SUM(M26:M34)</f>
        <v>1425237.5599999998</v>
      </c>
      <c r="N35" s="48">
        <f>L35-M35</f>
        <v>51778.520000000019</v>
      </c>
      <c r="O35" s="165">
        <f>(L35-H35)/H35</f>
        <v>8.1675529230172225E-2</v>
      </c>
      <c r="P35" s="216"/>
      <c r="Q35" s="48">
        <f>SUM(Q26:Q34)</f>
        <v>1528732.9</v>
      </c>
      <c r="R35" s="48">
        <f>SUM(R26:R34)</f>
        <v>1434975.8699999999</v>
      </c>
      <c r="S35" s="48">
        <f>Q35-R35</f>
        <v>93757.030000000028</v>
      </c>
      <c r="T35" s="165">
        <f t="shared" si="15"/>
        <v>3.5014391989557803E-2</v>
      </c>
      <c r="U35" s="216"/>
      <c r="V35" s="48" t="e">
        <f ca="1">SUM(V26:V34)</f>
        <v>#NAME?</v>
      </c>
      <c r="W35" s="48">
        <f>SUM(W26:W34)</f>
        <v>1644650.58</v>
      </c>
      <c r="X35" s="48">
        <f>SUM(X26:X34)</f>
        <v>1283852.98</v>
      </c>
      <c r="Y35" s="48">
        <f t="shared" si="3"/>
        <v>360797.60000000009</v>
      </c>
      <c r="Z35" s="282">
        <f t="shared" si="4"/>
        <v>7.5825986344638871E-2</v>
      </c>
      <c r="AA35" s="216"/>
      <c r="AB35" s="48">
        <f>SUM(AB26:AB34)</f>
        <v>1791370.2399999998</v>
      </c>
      <c r="AC35" s="48">
        <f>SUM(AC26:AC34)</f>
        <v>146719.65999999995</v>
      </c>
      <c r="AD35" s="208">
        <f t="shared" ref="AD35:AD60" si="23">AC35/W35</f>
        <v>8.9210232121159708E-2</v>
      </c>
      <c r="AE35" s="508" t="e">
        <f ca="1">AB35/$AB$64</f>
        <v>#NAME?</v>
      </c>
      <c r="AF35" s="508"/>
      <c r="AG35" s="48">
        <f>SUM(AG26:AG34)</f>
        <v>1907106.5768233333</v>
      </c>
      <c r="AH35" s="48">
        <f>SUM(AH26:AH34)</f>
        <v>115736.33682333339</v>
      </c>
      <c r="AI35" s="208">
        <f t="shared" ref="AI35:AI60" si="24">AH35/AB35</f>
        <v>6.4607714384790391E-2</v>
      </c>
      <c r="AJ35" s="508">
        <f t="shared" si="14"/>
        <v>0.18687332049820998</v>
      </c>
      <c r="AK35" s="51">
        <f>SUM(AK26:AK34)</f>
        <v>430090.49682333344</v>
      </c>
      <c r="AL35" s="209">
        <f t="shared" si="2"/>
        <v>0.29118877082457589</v>
      </c>
      <c r="AM35" s="209">
        <f>AL35/3</f>
        <v>9.7062923608191964E-2</v>
      </c>
      <c r="AO35" s="51">
        <f>SUM(AO26:AO34)</f>
        <v>581511.0668233335</v>
      </c>
      <c r="AP35" s="209">
        <f>AO35/D35</f>
        <v>0.43867911624363715</v>
      </c>
      <c r="AQ35" s="209">
        <f>AP35/5</f>
        <v>8.7735823248727432E-2</v>
      </c>
    </row>
    <row r="36" spans="1:43" ht="19.5" customHeight="1" x14ac:dyDescent="0.3">
      <c r="A36" s="27" t="s">
        <v>1002</v>
      </c>
      <c r="B36" s="40" t="s">
        <v>154</v>
      </c>
      <c r="C36" s="45" t="s">
        <v>20</v>
      </c>
      <c r="D36" s="41">
        <v>2984577.12</v>
      </c>
      <c r="E36" s="41">
        <v>2984577.12</v>
      </c>
      <c r="F36" s="42">
        <v>0</v>
      </c>
      <c r="G36" s="396">
        <v>0.12260204678082777</v>
      </c>
      <c r="H36" s="41">
        <v>3292309.55</v>
      </c>
      <c r="I36" s="41">
        <v>3292309.55</v>
      </c>
      <c r="J36" s="42">
        <v>0</v>
      </c>
      <c r="K36" s="216">
        <v>0.12260204678082777</v>
      </c>
      <c r="L36" s="41">
        <v>3090258.38</v>
      </c>
      <c r="M36" s="41">
        <v>3021004.74</v>
      </c>
      <c r="N36" s="42">
        <v>69253.639999999665</v>
      </c>
      <c r="O36" s="216">
        <v>-6.137064784810406E-2</v>
      </c>
      <c r="P36" s="216"/>
      <c r="Q36" s="41">
        <v>3028923.06</v>
      </c>
      <c r="R36" s="41">
        <v>3028923.06</v>
      </c>
      <c r="S36" s="42">
        <v>0</v>
      </c>
      <c r="T36" s="216">
        <f t="shared" si="15"/>
        <v>-1.9847958473944768E-2</v>
      </c>
      <c r="U36" s="216"/>
      <c r="V36" s="41">
        <f>'300-Education'!AF14</f>
        <v>3302822.58</v>
      </c>
      <c r="W36" s="425">
        <f>'300-Education'!AG14</f>
        <v>3302822.58</v>
      </c>
      <c r="X36" s="41">
        <f>'300-Education'!AH14</f>
        <v>3302822.58</v>
      </c>
      <c r="Y36" s="42">
        <f t="shared" si="3"/>
        <v>0</v>
      </c>
      <c r="Z36" s="281">
        <f t="shared" si="4"/>
        <v>9.0428021634857914E-2</v>
      </c>
      <c r="AA36" s="216"/>
      <c r="AB36" s="43">
        <f>'300-Education'!AK14</f>
        <v>3420478.4699999997</v>
      </c>
      <c r="AC36" s="41">
        <f>AB36-W36</f>
        <v>117655.88999999966</v>
      </c>
      <c r="AD36" s="89">
        <f t="shared" si="23"/>
        <v>3.5622830821266716E-2</v>
      </c>
      <c r="AE36" s="506" t="e">
        <f t="shared" ca="1" si="22"/>
        <v>#NAME?</v>
      </c>
      <c r="AF36" s="506"/>
      <c r="AG36" s="43">
        <f>'300-Education'!AO14</f>
        <v>3251110.5999999996</v>
      </c>
      <c r="AH36" s="41">
        <f>AG36-AB36</f>
        <v>-169367.87000000011</v>
      </c>
      <c r="AI36" s="89">
        <f t="shared" si="24"/>
        <v>-4.9515841565873131E-2</v>
      </c>
      <c r="AJ36" s="506">
        <f t="shared" si="14"/>
        <v>0.31856941846475961</v>
      </c>
      <c r="AK36" s="44">
        <f>AG36-L36</f>
        <v>160852.21999999974</v>
      </c>
      <c r="AL36" s="207">
        <f t="shared" ref="AL36:AL60" si="25">AK36/L36</f>
        <v>5.2051382188954616E-2</v>
      </c>
      <c r="AM36" s="207">
        <f t="shared" si="8"/>
        <v>1.7350460729651539E-2</v>
      </c>
      <c r="AO36" s="44">
        <f>AG36-D36</f>
        <v>266533.47999999952</v>
      </c>
      <c r="AP36" s="207">
        <f t="shared" si="10"/>
        <v>8.9303599566560879E-2</v>
      </c>
      <c r="AQ36" s="436">
        <f t="shared" si="11"/>
        <v>1.7860719913312176E-2</v>
      </c>
    </row>
    <row r="37" spans="1:43" s="49" customFormat="1" ht="18.75" customHeight="1" x14ac:dyDescent="0.3">
      <c r="B37" s="46"/>
      <c r="C37" s="47" t="s">
        <v>155</v>
      </c>
      <c r="D37" s="48">
        <f>SUM(D36)</f>
        <v>2984577.12</v>
      </c>
      <c r="E37" s="48">
        <f>SUM(E36)</f>
        <v>2984577.12</v>
      </c>
      <c r="F37" s="48">
        <f>D37-E37</f>
        <v>0</v>
      </c>
      <c r="G37" s="165">
        <v>0.12260204678082777</v>
      </c>
      <c r="H37" s="48">
        <f>SUM(H36)</f>
        <v>3292309.55</v>
      </c>
      <c r="I37" s="48">
        <f>SUM(I36)</f>
        <v>3292309.55</v>
      </c>
      <c r="J37" s="48">
        <f>H37-I37</f>
        <v>0</v>
      </c>
      <c r="K37" s="165">
        <v>0.12260204678082777</v>
      </c>
      <c r="L37" s="48">
        <f>SUM(L36)</f>
        <v>3090258.38</v>
      </c>
      <c r="M37" s="48">
        <f>SUM(M36)</f>
        <v>3021004.74</v>
      </c>
      <c r="N37" s="48">
        <f>L37-M37</f>
        <v>69253.639999999665</v>
      </c>
      <c r="O37" s="165">
        <f>(L37-H37)/H37</f>
        <v>-6.137064784810406E-2</v>
      </c>
      <c r="P37" s="216"/>
      <c r="Q37" s="48">
        <f>SUM(Q36)</f>
        <v>3028923.06</v>
      </c>
      <c r="R37" s="48">
        <f>SUM(R36)</f>
        <v>3028923.06</v>
      </c>
      <c r="S37" s="48">
        <f>Q37-R37</f>
        <v>0</v>
      </c>
      <c r="T37" s="165">
        <f t="shared" si="15"/>
        <v>-1.9847958473944768E-2</v>
      </c>
      <c r="U37" s="216"/>
      <c r="V37" s="48">
        <f>SUM(V36)</f>
        <v>3302822.58</v>
      </c>
      <c r="W37" s="48">
        <f>SUM(W36)</f>
        <v>3302822.58</v>
      </c>
      <c r="X37" s="48">
        <f>SUM(X36)</f>
        <v>3302822.58</v>
      </c>
      <c r="Y37" s="48">
        <f t="shared" si="3"/>
        <v>0</v>
      </c>
      <c r="Z37" s="282">
        <f t="shared" si="4"/>
        <v>9.0428021634857914E-2</v>
      </c>
      <c r="AA37" s="216"/>
      <c r="AB37" s="48">
        <f>SUM(AB36)</f>
        <v>3420478.4699999997</v>
      </c>
      <c r="AC37" s="48">
        <f>SUM(AC36)</f>
        <v>117655.88999999966</v>
      </c>
      <c r="AD37" s="208">
        <f t="shared" si="23"/>
        <v>3.5622830821266716E-2</v>
      </c>
      <c r="AE37" s="508" t="e">
        <f ca="1">AB37/$AB$64</f>
        <v>#NAME?</v>
      </c>
      <c r="AF37" s="508"/>
      <c r="AG37" s="48">
        <f>SUM(AG36)</f>
        <v>3251110.5999999996</v>
      </c>
      <c r="AH37" s="48">
        <f>SUM(AH36)</f>
        <v>-169367.87000000011</v>
      </c>
      <c r="AI37" s="208">
        <f t="shared" si="24"/>
        <v>-4.9515841565873131E-2</v>
      </c>
      <c r="AJ37" s="508">
        <f t="shared" si="14"/>
        <v>0.31856941846475961</v>
      </c>
      <c r="AK37" s="51">
        <f>SUM(AK36)</f>
        <v>160852.21999999974</v>
      </c>
      <c r="AL37" s="209">
        <f t="shared" si="25"/>
        <v>5.2051382188954616E-2</v>
      </c>
      <c r="AM37" s="209">
        <f>AL37/3</f>
        <v>1.7350460729651539E-2</v>
      </c>
      <c r="AO37" s="51">
        <f>SUM(AO36)</f>
        <v>266533.47999999952</v>
      </c>
      <c r="AP37" s="209">
        <f>AO37/D37</f>
        <v>8.9303599566560879E-2</v>
      </c>
      <c r="AQ37" s="209">
        <f>AP37/5</f>
        <v>1.7860719913312176E-2</v>
      </c>
    </row>
    <row r="38" spans="1:43" ht="19.5" customHeight="1" x14ac:dyDescent="0.3">
      <c r="A38" s="27" t="s">
        <v>1003</v>
      </c>
      <c r="B38" s="40" t="s">
        <v>156</v>
      </c>
      <c r="C38" s="45" t="s">
        <v>5</v>
      </c>
      <c r="D38" s="41">
        <v>157792.63</v>
      </c>
      <c r="E38" s="41">
        <v>150699.75</v>
      </c>
      <c r="F38" s="42">
        <v>7092.8800000000047</v>
      </c>
      <c r="G38" s="396">
        <v>1.0919666404319158E-2</v>
      </c>
      <c r="H38" s="41">
        <v>160320.57</v>
      </c>
      <c r="I38" s="41">
        <v>151535.12</v>
      </c>
      <c r="J38" s="42">
        <v>8785.4500000000116</v>
      </c>
      <c r="K38" s="216">
        <v>1.0919666404319158E-2</v>
      </c>
      <c r="L38" s="41">
        <v>161274.6</v>
      </c>
      <c r="M38" s="41">
        <v>156939.81</v>
      </c>
      <c r="N38" s="42">
        <v>4334.7900000000081</v>
      </c>
      <c r="O38" s="216">
        <v>5.9507647708587786E-3</v>
      </c>
      <c r="P38" s="216"/>
      <c r="Q38" s="41">
        <v>161874.37</v>
      </c>
      <c r="R38" s="41">
        <v>137940.73000000001</v>
      </c>
      <c r="S38" s="42">
        <v>23933.639999999985</v>
      </c>
      <c r="T38" s="216">
        <f t="shared" si="15"/>
        <v>3.718936521932093E-3</v>
      </c>
      <c r="U38" s="216"/>
      <c r="V38" s="41">
        <f>'422-Highway'!AF44</f>
        <v>175039.4</v>
      </c>
      <c r="W38" s="425">
        <f>'422-Highway'!AG44</f>
        <v>180295.84</v>
      </c>
      <c r="X38" s="41">
        <f>'422-Highway'!AH44</f>
        <v>149575.1</v>
      </c>
      <c r="Y38" s="42">
        <f t="shared" si="3"/>
        <v>30720.739999999991</v>
      </c>
      <c r="Z38" s="281">
        <f t="shared" si="4"/>
        <v>0.11380102977389195</v>
      </c>
      <c r="AA38" s="216"/>
      <c r="AB38" s="43">
        <f>'422-Highway'!AK44</f>
        <v>179938.89</v>
      </c>
      <c r="AC38" s="41">
        <f>AB38-W38</f>
        <v>-356.94999999998254</v>
      </c>
      <c r="AD38" s="89">
        <f t="shared" si="23"/>
        <v>-1.9798016415685606E-3</v>
      </c>
      <c r="AE38" s="506" t="e">
        <f t="shared" ca="1" si="22"/>
        <v>#NAME?</v>
      </c>
      <c r="AF38" s="506"/>
      <c r="AG38" s="43">
        <f>'422-Highway'!AO44</f>
        <v>211419.56400000001</v>
      </c>
      <c r="AH38" s="41">
        <f>AG38-AB38</f>
        <v>31480.673999999999</v>
      </c>
      <c r="AI38" s="89">
        <f t="shared" si="24"/>
        <v>0.17495202954736463</v>
      </c>
      <c r="AJ38" s="506">
        <f t="shared" si="14"/>
        <v>2.0716553769518958E-2</v>
      </c>
      <c r="AK38" s="44">
        <f>AG38-L38</f>
        <v>50144.964000000007</v>
      </c>
      <c r="AL38" s="207">
        <f t="shared" si="25"/>
        <v>0.31092908616731962</v>
      </c>
      <c r="AM38" s="207">
        <f t="shared" si="8"/>
        <v>0.10364302872243987</v>
      </c>
      <c r="AO38" s="44">
        <f>AG38-D38</f>
        <v>53626.934000000008</v>
      </c>
      <c r="AP38" s="207">
        <f t="shared" si="10"/>
        <v>0.33985702627556186</v>
      </c>
      <c r="AQ38" s="436">
        <f t="shared" si="11"/>
        <v>6.7971405255112374E-2</v>
      </c>
    </row>
    <row r="39" spans="1:43" ht="19.5" customHeight="1" x14ac:dyDescent="0.3">
      <c r="A39" s="27" t="s">
        <v>1004</v>
      </c>
      <c r="B39" s="40" t="s">
        <v>157</v>
      </c>
      <c r="C39" s="45" t="s">
        <v>21</v>
      </c>
      <c r="D39" s="41">
        <v>7000</v>
      </c>
      <c r="E39" s="41">
        <v>99431.39</v>
      </c>
      <c r="F39" s="42">
        <v>-92431.39</v>
      </c>
      <c r="G39" s="396">
        <v>0</v>
      </c>
      <c r="H39" s="41">
        <v>7000</v>
      </c>
      <c r="I39" s="41">
        <v>97957.03</v>
      </c>
      <c r="J39" s="42">
        <v>-90957.03</v>
      </c>
      <c r="K39" s="216">
        <v>0</v>
      </c>
      <c r="L39" s="41">
        <v>7000</v>
      </c>
      <c r="M39" s="41">
        <v>67135.63</v>
      </c>
      <c r="N39" s="42">
        <v>-60135.630000000005</v>
      </c>
      <c r="O39" s="216">
        <v>0</v>
      </c>
      <c r="P39" s="216"/>
      <c r="Q39" s="41">
        <v>30000</v>
      </c>
      <c r="R39" s="41">
        <v>52532.54</v>
      </c>
      <c r="S39" s="42">
        <v>-22532.54</v>
      </c>
      <c r="T39" s="216">
        <f t="shared" si="15"/>
        <v>3.2857142857142856</v>
      </c>
      <c r="U39" s="216"/>
      <c r="V39" s="41">
        <f>'423-Snow &amp; Ice'!AF16</f>
        <v>30000</v>
      </c>
      <c r="W39" s="425">
        <f>'423-Snow &amp; Ice'!AG16</f>
        <v>30000</v>
      </c>
      <c r="X39" s="41">
        <f>'423-Snow &amp; Ice'!AH16</f>
        <v>75126.81</v>
      </c>
      <c r="Y39" s="42">
        <f t="shared" si="3"/>
        <v>-45126.81</v>
      </c>
      <c r="Z39" s="281">
        <f t="shared" si="4"/>
        <v>0</v>
      </c>
      <c r="AA39" s="216"/>
      <c r="AB39" s="43">
        <f>'423-Snow &amp; Ice'!AK16</f>
        <v>30000</v>
      </c>
      <c r="AC39" s="41">
        <f>AB39-W39</f>
        <v>0</v>
      </c>
      <c r="AD39" s="89">
        <f t="shared" si="23"/>
        <v>0</v>
      </c>
      <c r="AE39" s="506" t="e">
        <f t="shared" ca="1" si="22"/>
        <v>#NAME?</v>
      </c>
      <c r="AF39" s="506"/>
      <c r="AG39" s="43">
        <f>'423-Snow &amp; Ice'!AO16</f>
        <v>30000</v>
      </c>
      <c r="AH39" s="41">
        <f>AG39-AB39</f>
        <v>0</v>
      </c>
      <c r="AI39" s="89">
        <f t="shared" si="24"/>
        <v>0</v>
      </c>
      <c r="AJ39" s="506">
        <f t="shared" si="14"/>
        <v>2.9396362442861189E-3</v>
      </c>
      <c r="AK39" s="44">
        <f>AG39-L39</f>
        <v>23000</v>
      </c>
      <c r="AL39" s="207">
        <f t="shared" si="25"/>
        <v>3.2857142857142856</v>
      </c>
      <c r="AM39" s="207">
        <f t="shared" si="8"/>
        <v>1.0952380952380951</v>
      </c>
      <c r="AO39" s="44">
        <f>AG39-D39</f>
        <v>23000</v>
      </c>
      <c r="AP39" s="207">
        <f t="shared" si="10"/>
        <v>3.2857142857142856</v>
      </c>
      <c r="AQ39" s="436">
        <f t="shared" si="11"/>
        <v>0.65714285714285714</v>
      </c>
    </row>
    <row r="40" spans="1:43" ht="19.5" customHeight="1" x14ac:dyDescent="0.3">
      <c r="A40" s="27" t="s">
        <v>1005</v>
      </c>
      <c r="B40" s="40" t="s">
        <v>158</v>
      </c>
      <c r="C40" s="45" t="s">
        <v>1958</v>
      </c>
      <c r="D40" s="41">
        <v>161728.07999999999</v>
      </c>
      <c r="E40" s="41">
        <v>145319.56</v>
      </c>
      <c r="F40" s="42">
        <v>16408.51999999999</v>
      </c>
      <c r="G40" s="396">
        <v>4.633226186386662E-3</v>
      </c>
      <c r="H40" s="41">
        <v>153431.31</v>
      </c>
      <c r="I40" s="41">
        <v>149952.07</v>
      </c>
      <c r="J40" s="42">
        <v>3479.2399999999907</v>
      </c>
      <c r="K40" s="216">
        <v>4.633226186386662E-3</v>
      </c>
      <c r="L40" s="41">
        <v>153644.79</v>
      </c>
      <c r="M40" s="41">
        <v>151333.37</v>
      </c>
      <c r="N40" s="42">
        <v>2311.4200000000128</v>
      </c>
      <c r="O40" s="216">
        <v>1.3913718132238491E-3</v>
      </c>
      <c r="P40" s="216"/>
      <c r="Q40" s="41">
        <v>156121.67000000001</v>
      </c>
      <c r="R40" s="41">
        <v>151484.75</v>
      </c>
      <c r="S40" s="42">
        <v>4636.9200000000128</v>
      </c>
      <c r="T40" s="216">
        <f t="shared" si="15"/>
        <v>1.6120819977039277E-2</v>
      </c>
      <c r="U40" s="216"/>
      <c r="V40" s="41" t="e">
        <f ca="1">'430-Waste Collection'!AF24</f>
        <v>#NAME?</v>
      </c>
      <c r="W40" s="425">
        <f>'430-Waste Collection'!AG24</f>
        <v>154022.91</v>
      </c>
      <c r="X40" s="41">
        <f>'430-Waste Collection'!AH24</f>
        <v>146496.76</v>
      </c>
      <c r="Y40" s="42">
        <f t="shared" si="3"/>
        <v>7526.1499999999942</v>
      </c>
      <c r="Z40" s="281">
        <f t="shared" si="4"/>
        <v>-1.3443104983440217E-2</v>
      </c>
      <c r="AA40" s="216"/>
      <c r="AB40" s="43">
        <f>'430-Waste Collection'!AK24</f>
        <v>163447.48000000001</v>
      </c>
      <c r="AC40" s="41">
        <f>AB40-W40</f>
        <v>9424.570000000007</v>
      </c>
      <c r="AD40" s="89">
        <f t="shared" si="23"/>
        <v>6.1189403576390078E-2</v>
      </c>
      <c r="AE40" s="506" t="e">
        <f t="shared" ca="1" si="22"/>
        <v>#NAME?</v>
      </c>
      <c r="AF40" s="506"/>
      <c r="AG40" s="43">
        <f>'430-Waste Collection'!AO24</f>
        <v>168136</v>
      </c>
      <c r="AH40" s="41">
        <f>AG40-AB40</f>
        <v>4688.5199999999895</v>
      </c>
      <c r="AI40" s="89">
        <f t="shared" si="24"/>
        <v>2.8685177648502071E-2</v>
      </c>
      <c r="AJ40" s="506">
        <f t="shared" si="14"/>
        <v>1.6475289318976363E-2</v>
      </c>
      <c r="AK40" s="44">
        <f>AG40-L40</f>
        <v>14491.209999999992</v>
      </c>
      <c r="AL40" s="207">
        <f t="shared" si="25"/>
        <v>9.4316312320124829E-2</v>
      </c>
      <c r="AM40" s="207">
        <f t="shared" si="8"/>
        <v>3.1438770773374945E-2</v>
      </c>
      <c r="AO40" s="44">
        <f>AG40-D40</f>
        <v>6407.9200000000128</v>
      </c>
      <c r="AP40" s="207">
        <f t="shared" si="10"/>
        <v>3.9621567262778441E-2</v>
      </c>
      <c r="AQ40" s="436">
        <f t="shared" si="11"/>
        <v>7.9243134525556879E-3</v>
      </c>
    </row>
    <row r="41" spans="1:43" ht="19.5" customHeight="1" x14ac:dyDescent="0.3">
      <c r="A41" s="27" t="s">
        <v>1006</v>
      </c>
      <c r="B41" s="40" t="s">
        <v>159</v>
      </c>
      <c r="C41" s="45" t="s">
        <v>1279</v>
      </c>
      <c r="D41" s="41">
        <v>21054.22</v>
      </c>
      <c r="E41" s="41">
        <v>16430.66</v>
      </c>
      <c r="F41" s="42">
        <v>4623.5600000000013</v>
      </c>
      <c r="G41" s="396">
        <v>-0.16285595370223557</v>
      </c>
      <c r="H41" s="41">
        <v>21963.18</v>
      </c>
      <c r="I41" s="41">
        <v>17584.18</v>
      </c>
      <c r="J41" s="42">
        <v>4379</v>
      </c>
      <c r="K41" s="216">
        <v>-0.16285595370223557</v>
      </c>
      <c r="L41" s="41">
        <v>22368.720000000001</v>
      </c>
      <c r="M41" s="41">
        <v>17123.43</v>
      </c>
      <c r="N41" s="42">
        <v>5245.2900000000009</v>
      </c>
      <c r="O41" s="216">
        <v>1.8464539288026636E-2</v>
      </c>
      <c r="P41" s="216"/>
      <c r="Q41" s="41">
        <v>23483.43</v>
      </c>
      <c r="R41" s="41">
        <v>21163.46</v>
      </c>
      <c r="S41" s="42">
        <v>2319.9700000000012</v>
      </c>
      <c r="T41" s="216">
        <f>(Q41-L41)/L41</f>
        <v>4.9833428108537234E-2</v>
      </c>
      <c r="U41" s="216"/>
      <c r="V41" s="41">
        <f>'491-Cemetery Comm'!AF26</f>
        <v>29268.59</v>
      </c>
      <c r="W41" s="425">
        <f>'491-Cemetery Comm'!AG26</f>
        <v>28316.62</v>
      </c>
      <c r="X41" s="41">
        <f>'491-Cemetery Comm'!AH26</f>
        <v>28065.670000000002</v>
      </c>
      <c r="Y41" s="42">
        <f t="shared" si="3"/>
        <v>250.94999999999709</v>
      </c>
      <c r="Z41" s="281">
        <f t="shared" si="4"/>
        <v>0.20581277947897725</v>
      </c>
      <c r="AA41" s="216"/>
      <c r="AB41" s="43" t="e">
        <f ca="1">'491-Cemetery Comm'!AK26</f>
        <v>#NAME?</v>
      </c>
      <c r="AC41" s="41" t="e">
        <f ca="1">AB41-W41</f>
        <v>#NAME?</v>
      </c>
      <c r="AD41" s="89" t="e">
        <f t="shared" ca="1" si="23"/>
        <v>#NAME?</v>
      </c>
      <c r="AE41" s="506" t="e">
        <f t="shared" ca="1" si="22"/>
        <v>#NAME?</v>
      </c>
      <c r="AF41" s="506"/>
      <c r="AG41" s="43">
        <f>'491-Cemetery Comm'!AO26</f>
        <v>38157.151320000004</v>
      </c>
      <c r="AH41" s="41" t="e">
        <f ca="1">AG41-AB41</f>
        <v>#NAME?</v>
      </c>
      <c r="AI41" s="89" t="e">
        <f t="shared" ca="1" si="24"/>
        <v>#NAME?</v>
      </c>
      <c r="AJ41" s="506">
        <f t="shared" si="14"/>
        <v>3.7389381666327309E-3</v>
      </c>
      <c r="AK41" s="44">
        <f>AG41-L41</f>
        <v>15788.431320000003</v>
      </c>
      <c r="AL41" s="207">
        <f t="shared" si="25"/>
        <v>0.70582631996824152</v>
      </c>
      <c r="AM41" s="207">
        <f t="shared" si="8"/>
        <v>0.23527543998941383</v>
      </c>
      <c r="AO41" s="44">
        <f>AG41-D41</f>
        <v>17102.931320000003</v>
      </c>
      <c r="AP41" s="207">
        <f t="shared" si="10"/>
        <v>0.81232794755635696</v>
      </c>
      <c r="AQ41" s="436">
        <f t="shared" si="11"/>
        <v>0.16246558951127138</v>
      </c>
    </row>
    <row r="42" spans="1:43" s="49" customFormat="1" ht="18.75" customHeight="1" x14ac:dyDescent="0.3">
      <c r="B42" s="46"/>
      <c r="C42" s="47" t="s">
        <v>160</v>
      </c>
      <c r="D42" s="48">
        <f>SUM(D38:D41)</f>
        <v>347574.92999999993</v>
      </c>
      <c r="E42" s="48">
        <f>SUM(E38:E41)</f>
        <v>411881.36</v>
      </c>
      <c r="F42" s="48">
        <f>D42-E42</f>
        <v>-64306.430000000051</v>
      </c>
      <c r="G42" s="165">
        <v>-5.2091211149988201E-3</v>
      </c>
      <c r="H42" s="48">
        <f>SUM(H38:H41)</f>
        <v>342715.06</v>
      </c>
      <c r="I42" s="48">
        <f>SUM(I38:I41)</f>
        <v>417028.39999999997</v>
      </c>
      <c r="J42" s="48">
        <f>H42-I42</f>
        <v>-74313.339999999967</v>
      </c>
      <c r="K42" s="165">
        <v>-5.2091211149988201E-3</v>
      </c>
      <c r="L42" s="48">
        <f>SUM(L38:L41)</f>
        <v>344288.11</v>
      </c>
      <c r="M42" s="48">
        <f>SUM(M38:M41)</f>
        <v>392532.24</v>
      </c>
      <c r="N42" s="48">
        <f>L42-M42</f>
        <v>-48244.130000000005</v>
      </c>
      <c r="O42" s="165">
        <f>(L42-H42)/H42</f>
        <v>4.5899646195880286E-3</v>
      </c>
      <c r="P42" s="216"/>
      <c r="Q42" s="48">
        <f>SUM(Q38:Q41)</f>
        <v>371479.47000000003</v>
      </c>
      <c r="R42" s="48">
        <f>SUM(R38:R41)</f>
        <v>363121.48000000004</v>
      </c>
      <c r="S42" s="48">
        <f>Q42-R42</f>
        <v>8357.9899999999907</v>
      </c>
      <c r="T42" s="165">
        <f t="shared" ref="T42:T60" si="26">(Q42-L42)/L42</f>
        <v>7.897850436949462E-2</v>
      </c>
      <c r="U42" s="216"/>
      <c r="V42" s="48" t="e">
        <f ca="1">SUM(V38:V41)</f>
        <v>#NAME?</v>
      </c>
      <c r="W42" s="48">
        <f>SUM(W38:W41)</f>
        <v>392635.37</v>
      </c>
      <c r="X42" s="48">
        <f>SUM(X38:X41)</f>
        <v>399264.34</v>
      </c>
      <c r="Y42" s="48">
        <f t="shared" si="3"/>
        <v>-6628.9700000000303</v>
      </c>
      <c r="Z42" s="282">
        <f>(W42-Q42)/Q42</f>
        <v>5.6950388133158378E-2</v>
      </c>
      <c r="AA42" s="216"/>
      <c r="AB42" s="48" t="e">
        <f ca="1">SUM(AB38:AB41)</f>
        <v>#NAME?</v>
      </c>
      <c r="AC42" s="48" t="e">
        <f ca="1">SUM(AC38:AC41)</f>
        <v>#NAME?</v>
      </c>
      <c r="AD42" s="208" t="e">
        <f t="shared" ca="1" si="23"/>
        <v>#NAME?</v>
      </c>
      <c r="AE42" s="508" t="e">
        <f ca="1">AB42/$AB$64</f>
        <v>#NAME?</v>
      </c>
      <c r="AF42" s="508"/>
      <c r="AG42" s="48">
        <f>SUM(AG38:AG41)-0.01</f>
        <v>447712.70532000001</v>
      </c>
      <c r="AH42" s="48" t="e">
        <f ca="1">SUM(AH38:AH41)</f>
        <v>#NAME?</v>
      </c>
      <c r="AI42" s="208" t="e">
        <f t="shared" ca="1" si="24"/>
        <v>#NAME?</v>
      </c>
      <c r="AJ42" s="508">
        <f t="shared" si="14"/>
        <v>4.3870416519535424E-2</v>
      </c>
      <c r="AK42" s="51">
        <f>SUM(AK38:AK41)</f>
        <v>103424.60532</v>
      </c>
      <c r="AL42" s="209">
        <f t="shared" si="25"/>
        <v>0.3004013275974009</v>
      </c>
      <c r="AM42" s="209">
        <f>AL42/3</f>
        <v>0.1001337758658003</v>
      </c>
      <c r="AO42" s="51">
        <f>SUM(AO38:AO41)</f>
        <v>100137.78532000002</v>
      </c>
      <c r="AP42" s="209">
        <f>AO42/D42</f>
        <v>0.28810416597077365</v>
      </c>
      <c r="AQ42" s="209">
        <f>AP42/5</f>
        <v>5.762083319415473E-2</v>
      </c>
    </row>
    <row r="43" spans="1:43" ht="19.5" customHeight="1" x14ac:dyDescent="0.3">
      <c r="A43" s="27" t="s">
        <v>1007</v>
      </c>
      <c r="B43" s="40" t="s">
        <v>161</v>
      </c>
      <c r="C43" s="45" t="s">
        <v>22</v>
      </c>
      <c r="D43" s="41">
        <v>62097.16</v>
      </c>
      <c r="E43" s="41">
        <v>57052.66</v>
      </c>
      <c r="F43" s="42">
        <v>5044.5</v>
      </c>
      <c r="G43" s="396">
        <v>-1.1908069834786733E-3</v>
      </c>
      <c r="H43" s="41">
        <v>65816.539999999994</v>
      </c>
      <c r="I43" s="41">
        <v>57357.37</v>
      </c>
      <c r="J43" s="42">
        <v>8459.169999999991</v>
      </c>
      <c r="K43" s="216">
        <v>-1.1908069834786733E-3</v>
      </c>
      <c r="L43" s="41">
        <v>73366.06</v>
      </c>
      <c r="M43" s="41">
        <v>65832.78</v>
      </c>
      <c r="N43" s="42">
        <v>7533.2799999999988</v>
      </c>
      <c r="O43" s="216">
        <v>0.11470551323421141</v>
      </c>
      <c r="P43" s="216"/>
      <c r="Q43" s="41">
        <v>75636.649999999994</v>
      </c>
      <c r="R43" s="41">
        <v>71480.149999999994</v>
      </c>
      <c r="S43" s="42">
        <v>4156.5</v>
      </c>
      <c r="T43" s="216">
        <f t="shared" si="26"/>
        <v>3.0948779312941113E-2</v>
      </c>
      <c r="U43" s="216"/>
      <c r="V43" s="41">
        <f>'510-Board of Health'!AF28</f>
        <v>78395.42</v>
      </c>
      <c r="W43" s="425">
        <f>'510-Board of Health'!AG28</f>
        <v>81884.989999999991</v>
      </c>
      <c r="X43" s="41">
        <f>'510-Board of Health'!AH28</f>
        <v>79273.5</v>
      </c>
      <c r="Y43" s="42">
        <f t="shared" si="3"/>
        <v>2611.4899999999907</v>
      </c>
      <c r="Z43" s="281">
        <f t="shared" si="4"/>
        <v>8.2609951657033956E-2</v>
      </c>
      <c r="AA43" s="216"/>
      <c r="AB43" s="43">
        <f>'510-Board of Health'!AK28</f>
        <v>83767.53</v>
      </c>
      <c r="AC43" s="41">
        <f>AB43-W43</f>
        <v>1882.5400000000081</v>
      </c>
      <c r="AD43" s="89">
        <f t="shared" si="23"/>
        <v>2.2990049824760415E-2</v>
      </c>
      <c r="AE43" s="506" t="e">
        <f t="shared" ca="1" si="22"/>
        <v>#NAME?</v>
      </c>
      <c r="AF43" s="506"/>
      <c r="AG43" s="43">
        <f>'510-Board of Health'!AO28</f>
        <v>90634.294099999999</v>
      </c>
      <c r="AH43" s="41">
        <f>AG43-AB43</f>
        <v>6866.7641000000003</v>
      </c>
      <c r="AI43" s="89">
        <f t="shared" si="24"/>
        <v>8.1974054863501414E-2</v>
      </c>
      <c r="AJ43" s="506">
        <f t="shared" si="14"/>
        <v>8.8810618637215847E-3</v>
      </c>
      <c r="AK43" s="44">
        <f>AG43-L43</f>
        <v>17268.234100000001</v>
      </c>
      <c r="AL43" s="207">
        <f t="shared" si="25"/>
        <v>0.23537087994094275</v>
      </c>
      <c r="AM43" s="207">
        <f t="shared" si="8"/>
        <v>7.8456959980314253E-2</v>
      </c>
      <c r="AO43" s="44">
        <f>AG43-D43</f>
        <v>28537.134099999996</v>
      </c>
      <c r="AP43" s="207">
        <f t="shared" si="10"/>
        <v>0.4595561874327263</v>
      </c>
      <c r="AQ43" s="436">
        <f t="shared" si="11"/>
        <v>9.1911237486545255E-2</v>
      </c>
    </row>
    <row r="44" spans="1:43" ht="19.5" customHeight="1" x14ac:dyDescent="0.3">
      <c r="A44" s="27" t="s">
        <v>1008</v>
      </c>
      <c r="B44" s="40" t="s">
        <v>162</v>
      </c>
      <c r="C44" s="45" t="s">
        <v>1119</v>
      </c>
      <c r="D44" s="41">
        <v>116532.98</v>
      </c>
      <c r="E44" s="41">
        <v>116363.01</v>
      </c>
      <c r="F44" s="42">
        <v>169.97000000000116</v>
      </c>
      <c r="G44" s="396">
        <v>-2.3374070986395067E-2</v>
      </c>
      <c r="H44" s="41">
        <v>127365.56</v>
      </c>
      <c r="I44" s="41">
        <v>124248.98</v>
      </c>
      <c r="J44" s="42">
        <v>3116.5800000000017</v>
      </c>
      <c r="K44" s="216">
        <v>-2.3374070986395067E-2</v>
      </c>
      <c r="L44" s="41">
        <v>155035.54999999999</v>
      </c>
      <c r="M44" s="41">
        <v>152470.29999999999</v>
      </c>
      <c r="N44" s="42">
        <v>2565.25</v>
      </c>
      <c r="O44" s="216">
        <v>0.21724860315457328</v>
      </c>
      <c r="P44" s="216"/>
      <c r="Q44" s="41">
        <v>203804.91</v>
      </c>
      <c r="R44" s="41">
        <v>191849.76</v>
      </c>
      <c r="S44" s="42">
        <v>11955.149999999994</v>
      </c>
      <c r="T44" s="216">
        <f>'541-SS'!AD17</f>
        <v>0.3145688843623286</v>
      </c>
      <c r="U44" s="216"/>
      <c r="V44" s="41">
        <f>'541-SS'!AF17</f>
        <v>240232.98</v>
      </c>
      <c r="W44" s="425">
        <f>'541-SS'!AG17</f>
        <v>240232.98</v>
      </c>
      <c r="X44" s="41">
        <f>'541-SS'!AH17</f>
        <v>228859.62</v>
      </c>
      <c r="Y44" s="42">
        <f t="shared" si="3"/>
        <v>11373.360000000015</v>
      </c>
      <c r="Z44" s="281">
        <f t="shared" si="4"/>
        <v>0.17873990376384949</v>
      </c>
      <c r="AA44" s="216"/>
      <c r="AB44" s="43">
        <f>'541-SS'!AK17</f>
        <v>267249.2</v>
      </c>
      <c r="AC44" s="41">
        <f>AB44-W44</f>
        <v>27016.22</v>
      </c>
      <c r="AD44" s="89">
        <f t="shared" si="23"/>
        <v>0.11245841432762479</v>
      </c>
      <c r="AE44" s="506" t="e">
        <f t="shared" ca="1" si="22"/>
        <v>#NAME?</v>
      </c>
      <c r="AF44" s="506"/>
      <c r="AG44" s="43">
        <f>'541-SS'!AO17</f>
        <v>270145.26</v>
      </c>
      <c r="AH44" s="41">
        <f>AG44-AB44</f>
        <v>2896.0599999999977</v>
      </c>
      <c r="AI44" s="89">
        <f t="shared" si="24"/>
        <v>1.0836552550952436E-2</v>
      </c>
      <c r="AJ44" s="506">
        <f t="shared" si="14"/>
        <v>2.6470959917269905E-2</v>
      </c>
      <c r="AK44" s="44">
        <f>AG44-L44</f>
        <v>115109.71000000002</v>
      </c>
      <c r="AL44" s="207">
        <f t="shared" si="25"/>
        <v>0.74247300054729404</v>
      </c>
      <c r="AM44" s="207">
        <f t="shared" si="8"/>
        <v>0.24749100018243134</v>
      </c>
      <c r="AO44" s="44">
        <f>AG44-D44</f>
        <v>153612.28000000003</v>
      </c>
      <c r="AP44" s="207">
        <f t="shared" si="10"/>
        <v>1.318187177569818</v>
      </c>
      <c r="AQ44" s="436">
        <f t="shared" si="11"/>
        <v>0.26363743551396357</v>
      </c>
    </row>
    <row r="45" spans="1:43" s="49" customFormat="1" ht="18.75" customHeight="1" x14ac:dyDescent="0.3">
      <c r="B45" s="46"/>
      <c r="C45" s="47" t="s">
        <v>163</v>
      </c>
      <c r="D45" s="48">
        <f>SUM(D43:D44)</f>
        <v>178630.14</v>
      </c>
      <c r="E45" s="48">
        <f>SUM(E43:E44)</f>
        <v>173415.66999999998</v>
      </c>
      <c r="F45" s="48">
        <f>D45-E45</f>
        <v>5214.4700000000303</v>
      </c>
      <c r="G45" s="165">
        <v>-1.5691237427171652E-2</v>
      </c>
      <c r="H45" s="48">
        <f>SUM(H43:H44)</f>
        <v>193182.09999999998</v>
      </c>
      <c r="I45" s="48">
        <f>SUM(I43:I44)</f>
        <v>181606.35</v>
      </c>
      <c r="J45" s="48">
        <f>H45-I45</f>
        <v>11575.749999999971</v>
      </c>
      <c r="K45" s="165">
        <v>-1.5691237427171652E-2</v>
      </c>
      <c r="L45" s="48">
        <f>SUM(L43:L44)</f>
        <v>228401.61</v>
      </c>
      <c r="M45" s="48">
        <f>SUM(M43:M44)</f>
        <v>218303.08</v>
      </c>
      <c r="N45" s="48">
        <f>L45-M45</f>
        <v>10098.529999999999</v>
      </c>
      <c r="O45" s="165">
        <f>(L45-H45)/H45</f>
        <v>0.1823124916853063</v>
      </c>
      <c r="P45" s="165"/>
      <c r="Q45" s="48">
        <f>SUM(Q43:Q44)</f>
        <v>279441.56</v>
      </c>
      <c r="R45" s="48">
        <f>SUM(R43:R44)</f>
        <v>263329.91000000003</v>
      </c>
      <c r="S45" s="48">
        <f>Q45-R45</f>
        <v>16111.649999999965</v>
      </c>
      <c r="T45" s="165">
        <f t="shared" si="26"/>
        <v>0.2234658065676508</v>
      </c>
      <c r="U45" s="165"/>
      <c r="V45" s="48">
        <f>SUM(V43:V44)</f>
        <v>318628.40000000002</v>
      </c>
      <c r="W45" s="48">
        <f>SUM(W43:W44)</f>
        <v>322117.96999999997</v>
      </c>
      <c r="X45" s="48">
        <f>SUM(X43:X44)</f>
        <v>308133.12</v>
      </c>
      <c r="Y45" s="48">
        <f t="shared" si="3"/>
        <v>13984.849999999977</v>
      </c>
      <c r="Z45" s="282">
        <f t="shared" si="4"/>
        <v>0.15272033980915356</v>
      </c>
      <c r="AA45" s="165"/>
      <c r="AB45" s="48">
        <f>SUM(AB43:AB44)</f>
        <v>351016.73</v>
      </c>
      <c r="AC45" s="48">
        <f>SUM(AC43:AC44)</f>
        <v>28898.760000000009</v>
      </c>
      <c r="AD45" s="208">
        <f t="shared" si="23"/>
        <v>8.9714833357480844E-2</v>
      </c>
      <c r="AE45" s="508" t="e">
        <f t="shared" ref="AE45:AE60" ca="1" si="27">AB45/$AB$64</f>
        <v>#NAME?</v>
      </c>
      <c r="AF45" s="508"/>
      <c r="AG45" s="48">
        <f>SUM(AG43:AG44)</f>
        <v>360779.55410000001</v>
      </c>
      <c r="AH45" s="48">
        <f>SUM(AH43:AH44)</f>
        <v>9762.824099999998</v>
      </c>
      <c r="AI45" s="208">
        <f t="shared" si="24"/>
        <v>2.7812988002024856E-2</v>
      </c>
      <c r="AJ45" s="508">
        <f t="shared" si="14"/>
        <v>3.5352021780991484E-2</v>
      </c>
      <c r="AK45" s="51">
        <f>SUM(AK43:AK44)</f>
        <v>132377.94410000002</v>
      </c>
      <c r="AL45" s="209">
        <f t="shared" si="25"/>
        <v>0.57958411107522412</v>
      </c>
      <c r="AM45" s="209">
        <f>AL45/3</f>
        <v>0.19319470369174138</v>
      </c>
      <c r="AO45" s="51">
        <f>SUM(AO43:AO44)</f>
        <v>182149.41410000002</v>
      </c>
      <c r="AP45" s="209">
        <f>AO45/D45</f>
        <v>1.0197014574360184</v>
      </c>
      <c r="AQ45" s="209">
        <f>AP45/5</f>
        <v>0.20394029148720366</v>
      </c>
    </row>
    <row r="46" spans="1:43" ht="19.5" customHeight="1" x14ac:dyDescent="0.3">
      <c r="A46" s="27" t="s">
        <v>1009</v>
      </c>
      <c r="B46" s="40" t="s">
        <v>164</v>
      </c>
      <c r="C46" s="45" t="s">
        <v>23</v>
      </c>
      <c r="D46" s="41">
        <v>301221.55</v>
      </c>
      <c r="E46" s="41">
        <v>300477.32</v>
      </c>
      <c r="F46" s="42">
        <v>744.22999999998137</v>
      </c>
      <c r="G46" s="396">
        <v>-2.1877502870424954E-2</v>
      </c>
      <c r="H46" s="41">
        <v>315802.7</v>
      </c>
      <c r="I46" s="41">
        <v>314996.51</v>
      </c>
      <c r="J46" s="42">
        <v>806.19000000000233</v>
      </c>
      <c r="K46" s="216">
        <v>-2.1877502870424954E-2</v>
      </c>
      <c r="L46" s="41">
        <v>329689.77</v>
      </c>
      <c r="M46" s="41">
        <v>327811.98</v>
      </c>
      <c r="N46" s="42">
        <v>1877.7900000000373</v>
      </c>
      <c r="O46" s="216">
        <v>4.3973879893997127E-2</v>
      </c>
      <c r="P46" s="216"/>
      <c r="Q46" s="41">
        <v>348044.2</v>
      </c>
      <c r="R46" s="41">
        <v>339633.54</v>
      </c>
      <c r="S46" s="42">
        <v>8410.6600000000326</v>
      </c>
      <c r="T46" s="216">
        <f t="shared" si="26"/>
        <v>5.567182142169589E-2</v>
      </c>
      <c r="U46" s="216"/>
      <c r="V46" s="41">
        <f>'610-Library'!AF44</f>
        <v>366617.19880000001</v>
      </c>
      <c r="W46" s="425">
        <f>'610-Library'!AG44</f>
        <v>382622.59</v>
      </c>
      <c r="X46" s="41">
        <f>'610-Library'!AH44</f>
        <v>374064.63999999996</v>
      </c>
      <c r="Y46" s="42">
        <f t="shared" si="3"/>
        <v>8557.9500000000698</v>
      </c>
      <c r="Z46" s="281">
        <f t="shared" si="4"/>
        <v>9.9350570990696052E-2</v>
      </c>
      <c r="AA46" s="216"/>
      <c r="AB46" s="43">
        <f>'610-Library'!AK44</f>
        <v>405462.61439999996</v>
      </c>
      <c r="AC46" s="41">
        <f>AB46-W46</f>
        <v>22840.024399999937</v>
      </c>
      <c r="AD46" s="89">
        <f t="shared" si="23"/>
        <v>5.9693350567722452E-2</v>
      </c>
      <c r="AE46" s="506" t="e">
        <f t="shared" ca="1" si="27"/>
        <v>#NAME?</v>
      </c>
      <c r="AF46" s="506"/>
      <c r="AG46" s="43">
        <f>'610-Library'!AO44</f>
        <v>418013.22698000004</v>
      </c>
      <c r="AH46" s="41">
        <f>AG46-AB46</f>
        <v>12550.612580000074</v>
      </c>
      <c r="AI46" s="89">
        <f t="shared" si="24"/>
        <v>3.095380963439098E-2</v>
      </c>
      <c r="AJ46" s="506">
        <f t="shared" si="14"/>
        <v>4.0960227754046938E-2</v>
      </c>
      <c r="AK46" s="44">
        <f>AG46-L46</f>
        <v>88323.456980000017</v>
      </c>
      <c r="AL46" s="207">
        <f t="shared" si="25"/>
        <v>0.26789868845490722</v>
      </c>
      <c r="AM46" s="207">
        <f t="shared" si="8"/>
        <v>8.9299562818302411E-2</v>
      </c>
      <c r="AO46" s="44">
        <f>AG46-D46</f>
        <v>116791.67698000005</v>
      </c>
      <c r="AP46" s="207">
        <f t="shared" si="10"/>
        <v>0.38772683089905108</v>
      </c>
      <c r="AQ46" s="436">
        <f t="shared" si="11"/>
        <v>7.7545366179810213E-2</v>
      </c>
    </row>
    <row r="47" spans="1:43" ht="19.5" customHeight="1" x14ac:dyDescent="0.3">
      <c r="A47" s="27" t="s">
        <v>992</v>
      </c>
      <c r="B47" s="40" t="s">
        <v>165</v>
      </c>
      <c r="C47" s="45" t="s">
        <v>1959</v>
      </c>
      <c r="D47" s="41">
        <v>246593.58</v>
      </c>
      <c r="E47" s="41">
        <v>211714.09</v>
      </c>
      <c r="F47" s="42">
        <v>34879.489999999991</v>
      </c>
      <c r="G47" s="396">
        <v>2.6437238050886883E-2</v>
      </c>
      <c r="H47" s="41">
        <v>238944.85</v>
      </c>
      <c r="I47" s="41">
        <v>202562.77</v>
      </c>
      <c r="J47" s="42">
        <v>36382.080000000016</v>
      </c>
      <c r="K47" s="216">
        <v>2.6437238050886883E-2</v>
      </c>
      <c r="L47" s="41">
        <v>230296.47</v>
      </c>
      <c r="M47" s="41">
        <v>240310.88</v>
      </c>
      <c r="N47" s="42">
        <v>-10014.410000000003</v>
      </c>
      <c r="O47" s="216">
        <v>-3.6194042265401426E-2</v>
      </c>
      <c r="P47" s="216"/>
      <c r="Q47" s="41">
        <v>249879.24</v>
      </c>
      <c r="R47" s="41">
        <v>219952.86</v>
      </c>
      <c r="S47" s="42">
        <v>29926.380000000005</v>
      </c>
      <c r="T47" s="216">
        <f t="shared" si="26"/>
        <v>8.5032870890291934E-2</v>
      </c>
      <c r="U47" s="216"/>
      <c r="V47" s="41">
        <f>'630-Beach'!AF47</f>
        <v>235260.02000000002</v>
      </c>
      <c r="W47" s="425">
        <f>'630-Beach'!AG47</f>
        <v>237486.14</v>
      </c>
      <c r="X47" s="41">
        <f>'630-Beach'!AH47</f>
        <v>220246.3</v>
      </c>
      <c r="Y47" s="42">
        <f t="shared" si="3"/>
        <v>17239.840000000026</v>
      </c>
      <c r="Z47" s="281">
        <f t="shared" si="4"/>
        <v>-4.9596357024296926E-2</v>
      </c>
      <c r="AA47" s="216"/>
      <c r="AB47" s="43">
        <f>'630-Beach'!AK47</f>
        <v>240305.16999999998</v>
      </c>
      <c r="AC47" s="41">
        <f>AB47-W47</f>
        <v>2819.0299999999697</v>
      </c>
      <c r="AD47" s="89">
        <f t="shared" si="23"/>
        <v>1.1870292725293229E-2</v>
      </c>
      <c r="AE47" s="506" t="e">
        <f t="shared" ca="1" si="27"/>
        <v>#NAME?</v>
      </c>
      <c r="AF47" s="506"/>
      <c r="AG47" s="43">
        <f>'630-Beach'!AO47</f>
        <v>250992.01999999996</v>
      </c>
      <c r="AH47" s="41">
        <f>AG47-AB47</f>
        <v>10686.849999999977</v>
      </c>
      <c r="AI47" s="89">
        <f t="shared" si="24"/>
        <v>4.4471993673710714E-2</v>
      </c>
      <c r="AJ47" s="506">
        <f t="shared" si="14"/>
        <v>2.4594174633952876E-2</v>
      </c>
      <c r="AK47" s="44">
        <f>AG47-L47</f>
        <v>20695.549999999959</v>
      </c>
      <c r="AL47" s="207">
        <f t="shared" si="25"/>
        <v>8.9864816425540339E-2</v>
      </c>
      <c r="AM47" s="207">
        <f t="shared" si="8"/>
        <v>2.9954938808513448E-2</v>
      </c>
      <c r="AO47" s="44">
        <f>AG47-D47</f>
        <v>4398.4399999999732</v>
      </c>
      <c r="AP47" s="207">
        <f t="shared" si="10"/>
        <v>1.7836798508703972E-2</v>
      </c>
      <c r="AQ47" s="436">
        <f t="shared" si="11"/>
        <v>3.5673597017407944E-3</v>
      </c>
    </row>
    <row r="48" spans="1:43" ht="19.5" customHeight="1" x14ac:dyDescent="0.3">
      <c r="A48" s="27" t="s">
        <v>1010</v>
      </c>
      <c r="B48" s="40" t="s">
        <v>166</v>
      </c>
      <c r="C48" s="45" t="s">
        <v>817</v>
      </c>
      <c r="D48" s="41">
        <v>1800</v>
      </c>
      <c r="E48" s="41">
        <v>1625</v>
      </c>
      <c r="F48" s="42">
        <v>175</v>
      </c>
      <c r="G48" s="396">
        <v>0</v>
      </c>
      <c r="H48" s="41">
        <v>1200</v>
      </c>
      <c r="I48" s="41">
        <v>1125</v>
      </c>
      <c r="J48" s="42">
        <v>75</v>
      </c>
      <c r="K48" s="216">
        <v>0</v>
      </c>
      <c r="L48" s="41">
        <v>1500</v>
      </c>
      <c r="M48" s="41">
        <v>0</v>
      </c>
      <c r="N48" s="42">
        <v>1500</v>
      </c>
      <c r="O48" s="216">
        <v>0.25</v>
      </c>
      <c r="P48" s="216"/>
      <c r="Q48" s="41">
        <v>1500</v>
      </c>
      <c r="R48" s="41">
        <v>1903.7</v>
      </c>
      <c r="S48" s="42">
        <v>-403.70000000000005</v>
      </c>
      <c r="T48" s="216">
        <f t="shared" si="26"/>
        <v>0</v>
      </c>
      <c r="U48" s="216"/>
      <c r="V48" s="41">
        <f>'650-Parks'!AF14</f>
        <v>1500</v>
      </c>
      <c r="W48" s="425">
        <f>'650-Parks'!AG14</f>
        <v>1500</v>
      </c>
      <c r="X48" s="41">
        <f>'650-Parks'!AH14</f>
        <v>2132.65</v>
      </c>
      <c r="Y48" s="316">
        <f t="shared" si="3"/>
        <v>-632.65000000000009</v>
      </c>
      <c r="Z48" s="281">
        <f t="shared" si="4"/>
        <v>0</v>
      </c>
      <c r="AA48" s="216"/>
      <c r="AB48" s="43">
        <f>'650-Parks'!AK14</f>
        <v>200</v>
      </c>
      <c r="AC48" s="41">
        <f>AB48-W48</f>
        <v>-1300</v>
      </c>
      <c r="AD48" s="89">
        <f t="shared" si="23"/>
        <v>-0.8666666666666667</v>
      </c>
      <c r="AE48" s="506" t="e">
        <f t="shared" ca="1" si="27"/>
        <v>#NAME?</v>
      </c>
      <c r="AF48" s="506"/>
      <c r="AG48" s="43">
        <f>'650-Parks'!AO14</f>
        <v>200</v>
      </c>
      <c r="AH48" s="41">
        <f>AG48-AB48</f>
        <v>0</v>
      </c>
      <c r="AI48" s="89">
        <f t="shared" si="24"/>
        <v>0</v>
      </c>
      <c r="AJ48" s="506">
        <f t="shared" si="14"/>
        <v>1.959757496190746E-5</v>
      </c>
      <c r="AK48" s="44">
        <f>AG48-L48</f>
        <v>-1300</v>
      </c>
      <c r="AL48" s="207">
        <f t="shared" si="25"/>
        <v>-0.8666666666666667</v>
      </c>
      <c r="AM48" s="207">
        <f t="shared" si="8"/>
        <v>-0.28888888888888892</v>
      </c>
      <c r="AO48" s="44">
        <f>AG48-D48</f>
        <v>-1600</v>
      </c>
      <c r="AP48" s="207">
        <f t="shared" si="10"/>
        <v>-0.88888888888888884</v>
      </c>
      <c r="AQ48" s="436">
        <f t="shared" si="11"/>
        <v>-0.17777777777777776</v>
      </c>
    </row>
    <row r="49" spans="1:43" ht="19.5" customHeight="1" x14ac:dyDescent="0.3">
      <c r="A49" s="27" t="s">
        <v>1011</v>
      </c>
      <c r="B49" s="40" t="s">
        <v>167</v>
      </c>
      <c r="C49" s="45" t="s">
        <v>24</v>
      </c>
      <c r="D49" s="41">
        <v>2255.9299999999998</v>
      </c>
      <c r="E49" s="41">
        <v>1002.46</v>
      </c>
      <c r="F49" s="42">
        <v>1253.4699999999998</v>
      </c>
      <c r="G49" s="396">
        <v>3.1042801556420134E-2</v>
      </c>
      <c r="H49" s="41">
        <v>2302.39</v>
      </c>
      <c r="I49" s="41">
        <v>1093.1199999999999</v>
      </c>
      <c r="J49" s="42">
        <v>1209.27</v>
      </c>
      <c r="K49" s="216">
        <v>3.1042801556420134E-2</v>
      </c>
      <c r="L49" s="41">
        <v>2362.14</v>
      </c>
      <c r="M49" s="41">
        <v>1092.1400000000001</v>
      </c>
      <c r="N49" s="42">
        <v>1269.9999999999998</v>
      </c>
      <c r="O49" s="216">
        <v>2.5951294090054249E-2</v>
      </c>
      <c r="P49" s="216"/>
      <c r="Q49" s="41">
        <v>2403.65</v>
      </c>
      <c r="R49" s="41">
        <v>1358.65</v>
      </c>
      <c r="S49" s="42">
        <v>1045</v>
      </c>
      <c r="T49" s="216">
        <f t="shared" si="26"/>
        <v>1.757304816818657E-2</v>
      </c>
      <c r="U49" s="216"/>
      <c r="V49" s="41">
        <f>'691-Historical Comm'!AF15</f>
        <v>2453.21</v>
      </c>
      <c r="W49" s="425">
        <f>'691-Historical Comm'!AG15</f>
        <v>2582.11</v>
      </c>
      <c r="X49" s="41">
        <f>'691-Historical Comm'!AH15</f>
        <v>1332.1100000000001</v>
      </c>
      <c r="Y49" s="42">
        <f t="shared" si="3"/>
        <v>1250</v>
      </c>
      <c r="Z49" s="281">
        <f t="shared" si="4"/>
        <v>7.4245418426143586E-2</v>
      </c>
      <c r="AA49" s="216"/>
      <c r="AB49" s="43">
        <f>'691-Historical Comm'!AK15</f>
        <v>2649.6</v>
      </c>
      <c r="AC49" s="41">
        <f>AB49-W49</f>
        <v>67.489999999999782</v>
      </c>
      <c r="AD49" s="89">
        <f t="shared" si="23"/>
        <v>2.6137538679606904E-2</v>
      </c>
      <c r="AE49" s="506" t="e">
        <f t="shared" ca="1" si="27"/>
        <v>#NAME?</v>
      </c>
      <c r="AF49" s="506"/>
      <c r="AG49" s="43">
        <f>'691-Historical Comm'!AO15</f>
        <v>2678.06718</v>
      </c>
      <c r="AH49" s="41">
        <f>AG49-AB49</f>
        <v>28.467180000000099</v>
      </c>
      <c r="AI49" s="89">
        <f t="shared" si="24"/>
        <v>1.0743953804347863E-2</v>
      </c>
      <c r="AJ49" s="506">
        <f t="shared" si="14"/>
        <v>2.624181115653706E-4</v>
      </c>
      <c r="AK49" s="44">
        <f>AG49-L49</f>
        <v>315.92718000000013</v>
      </c>
      <c r="AL49" s="207">
        <f t="shared" si="25"/>
        <v>0.13374617084508122</v>
      </c>
      <c r="AM49" s="207">
        <f t="shared" si="8"/>
        <v>4.4582056948360406E-2</v>
      </c>
      <c r="AO49" s="44">
        <f>AG49-D49</f>
        <v>422.13718000000017</v>
      </c>
      <c r="AP49" s="207">
        <f t="shared" si="10"/>
        <v>0.18712335045856929</v>
      </c>
      <c r="AQ49" s="436">
        <f t="shared" si="11"/>
        <v>3.7424670091713859E-2</v>
      </c>
    </row>
    <row r="50" spans="1:43" ht="19.5" customHeight="1" x14ac:dyDescent="0.3">
      <c r="A50" s="27" t="s">
        <v>1012</v>
      </c>
      <c r="B50" s="40" t="s">
        <v>168</v>
      </c>
      <c r="C50" s="45" t="s">
        <v>109</v>
      </c>
      <c r="D50" s="41">
        <v>1500</v>
      </c>
      <c r="E50" s="41">
        <v>1500</v>
      </c>
      <c r="F50" s="42">
        <v>0</v>
      </c>
      <c r="G50" s="396"/>
      <c r="H50" s="41">
        <v>2500</v>
      </c>
      <c r="I50" s="41">
        <v>2500</v>
      </c>
      <c r="J50" s="42">
        <v>0</v>
      </c>
      <c r="K50" s="216"/>
      <c r="L50" s="41">
        <v>2500</v>
      </c>
      <c r="M50" s="41">
        <v>2500</v>
      </c>
      <c r="N50" s="42">
        <v>0</v>
      </c>
      <c r="O50" s="216">
        <v>0</v>
      </c>
      <c r="P50" s="216"/>
      <c r="Q50" s="41">
        <v>2500</v>
      </c>
      <c r="R50" s="41">
        <v>2500</v>
      </c>
      <c r="S50" s="42">
        <v>0</v>
      </c>
      <c r="T50" s="216">
        <f t="shared" si="26"/>
        <v>0</v>
      </c>
      <c r="U50" s="216"/>
      <c r="V50" s="41">
        <f>'699-Cultural Council'!AF13</f>
        <v>3000</v>
      </c>
      <c r="W50" s="425">
        <f>'699-Cultural Council'!AG13</f>
        <v>3000</v>
      </c>
      <c r="X50" s="41">
        <f>'699-Cultural Council'!AH13</f>
        <v>3000</v>
      </c>
      <c r="Y50" s="42">
        <f t="shared" si="3"/>
        <v>0</v>
      </c>
      <c r="Z50" s="281">
        <f t="shared" si="4"/>
        <v>0.2</v>
      </c>
      <c r="AA50" s="216"/>
      <c r="AB50" s="43">
        <f>'699-Cultural Council'!AK13</f>
        <v>3000</v>
      </c>
      <c r="AC50" s="41">
        <f>AB50-W50</f>
        <v>0</v>
      </c>
      <c r="AD50" s="89">
        <f t="shared" si="23"/>
        <v>0</v>
      </c>
      <c r="AE50" s="506" t="e">
        <f t="shared" ca="1" si="27"/>
        <v>#NAME?</v>
      </c>
      <c r="AF50" s="506"/>
      <c r="AG50" s="43">
        <f>'699-Cultural Council'!AO13</f>
        <v>3500</v>
      </c>
      <c r="AH50" s="41">
        <f>AG50-AB50</f>
        <v>500</v>
      </c>
      <c r="AI50" s="89">
        <f t="shared" si="24"/>
        <v>0.16666666666666666</v>
      </c>
      <c r="AJ50" s="506">
        <f t="shared" si="14"/>
        <v>3.4295756183338051E-4</v>
      </c>
      <c r="AK50" s="44">
        <f>AG50-L50</f>
        <v>1000</v>
      </c>
      <c r="AL50" s="207">
        <f t="shared" si="25"/>
        <v>0.4</v>
      </c>
      <c r="AM50" s="207">
        <f t="shared" si="8"/>
        <v>0.13333333333333333</v>
      </c>
      <c r="AO50" s="44">
        <f>AG50-D50</f>
        <v>2000</v>
      </c>
      <c r="AP50" s="207">
        <f t="shared" si="10"/>
        <v>1.3333333333333333</v>
      </c>
      <c r="AQ50" s="436">
        <f t="shared" si="11"/>
        <v>0.26666666666666666</v>
      </c>
    </row>
    <row r="51" spans="1:43" s="49" customFormat="1" ht="18.75" customHeight="1" x14ac:dyDescent="0.3">
      <c r="B51" s="46"/>
      <c r="C51" s="47" t="s">
        <v>169</v>
      </c>
      <c r="D51" s="48">
        <f>SUM(D46:D50)</f>
        <v>553371.06000000006</v>
      </c>
      <c r="E51" s="48">
        <f>SUM(E46:E50)</f>
        <v>516318.87000000005</v>
      </c>
      <c r="F51" s="48">
        <f>D51-E51</f>
        <v>37052.19</v>
      </c>
      <c r="G51" s="165">
        <v>2.9957652591447981E-3</v>
      </c>
      <c r="H51" s="48">
        <f>SUM(H46:H50)</f>
        <v>560749.94000000006</v>
      </c>
      <c r="I51" s="48">
        <f>SUM(I46:I50)</f>
        <v>522277.4</v>
      </c>
      <c r="J51" s="48">
        <f>H51-I51</f>
        <v>38472.540000000037</v>
      </c>
      <c r="K51" s="165">
        <v>2.9957652591447981E-3</v>
      </c>
      <c r="L51" s="48">
        <f>SUM(L46:L50)</f>
        <v>566348.38</v>
      </c>
      <c r="M51" s="48">
        <f>SUM(M46:M50)</f>
        <v>571715</v>
      </c>
      <c r="N51" s="48">
        <f>L51-M51</f>
        <v>-5366.6199999999953</v>
      </c>
      <c r="O51" s="165">
        <f>(L51-H51)/H51</f>
        <v>9.983844135587323E-3</v>
      </c>
      <c r="P51" s="216"/>
      <c r="Q51" s="48">
        <f>SUM(Q46:Q50)</f>
        <v>604327.09</v>
      </c>
      <c r="R51" s="48">
        <f>SUM(R46:R50)</f>
        <v>565348.74999999988</v>
      </c>
      <c r="S51" s="48">
        <f>Q51-R51</f>
        <v>38978.340000000084</v>
      </c>
      <c r="T51" s="165">
        <f t="shared" si="26"/>
        <v>6.7058918752446975E-2</v>
      </c>
      <c r="U51" s="216"/>
      <c r="V51" s="48">
        <f>SUM(V46:V50)</f>
        <v>608830.42879999999</v>
      </c>
      <c r="W51" s="48">
        <f>SUM(W46:W50)</f>
        <v>627190.84</v>
      </c>
      <c r="X51" s="48">
        <f>SUM(X46:X50)</f>
        <v>600775.69999999995</v>
      </c>
      <c r="Y51" s="48">
        <f t="shared" si="3"/>
        <v>26415.140000000014</v>
      </c>
      <c r="Z51" s="282">
        <f t="shared" si="4"/>
        <v>3.7833402437742782E-2</v>
      </c>
      <c r="AA51" s="216"/>
      <c r="AB51" s="48">
        <f>SUM(AB46:AB50)</f>
        <v>651617.38439999998</v>
      </c>
      <c r="AC51" s="48">
        <f>SUM(AC46:AC50)</f>
        <v>24426.544399999904</v>
      </c>
      <c r="AD51" s="208">
        <f t="shared" si="23"/>
        <v>3.8945952080550003E-2</v>
      </c>
      <c r="AE51" s="508" t="e">
        <f t="shared" ca="1" si="27"/>
        <v>#NAME?</v>
      </c>
      <c r="AF51" s="508"/>
      <c r="AG51" s="48">
        <f>SUM(AG46:AG50)+0.01</f>
        <v>675383.32416000008</v>
      </c>
      <c r="AH51" s="48">
        <f>SUM(AH46:AH50)</f>
        <v>23765.92976000005</v>
      </c>
      <c r="AI51" s="208">
        <f t="shared" si="24"/>
        <v>3.647221564213389E-2</v>
      </c>
      <c r="AJ51" s="508">
        <f t="shared" si="14"/>
        <v>6.6179376616239224E-2</v>
      </c>
      <c r="AK51" s="51">
        <f>SUM(AK46:AK50)</f>
        <v>109034.93415999998</v>
      </c>
      <c r="AL51" s="209">
        <f t="shared" si="25"/>
        <v>0.19252272631202719</v>
      </c>
      <c r="AM51" s="209">
        <f>AL51/3</f>
        <v>6.4174242104009058E-2</v>
      </c>
      <c r="AO51" s="51">
        <f>SUM(AO46:AO50)</f>
        <v>122012.25416000003</v>
      </c>
      <c r="AP51" s="209">
        <f>AO51/D51</f>
        <v>0.22048904068094927</v>
      </c>
      <c r="AQ51" s="209">
        <f>AP51/5</f>
        <v>4.4097808136189853E-2</v>
      </c>
    </row>
    <row r="52" spans="1:43" ht="19.5" customHeight="1" x14ac:dyDescent="0.3">
      <c r="A52" s="27" t="s">
        <v>1013</v>
      </c>
      <c r="B52" s="40" t="s">
        <v>170</v>
      </c>
      <c r="C52" s="45" t="s">
        <v>822</v>
      </c>
      <c r="D52" s="41">
        <v>425000</v>
      </c>
      <c r="E52" s="41">
        <v>395000</v>
      </c>
      <c r="F52" s="42">
        <v>30000</v>
      </c>
      <c r="G52" s="396">
        <v>0.44067796610169491</v>
      </c>
      <c r="H52" s="41">
        <v>415000</v>
      </c>
      <c r="I52" s="41">
        <v>415000</v>
      </c>
      <c r="J52" s="42">
        <v>0</v>
      </c>
      <c r="K52" s="216">
        <v>0.44067796610169491</v>
      </c>
      <c r="L52" s="41">
        <v>449999.99</v>
      </c>
      <c r="M52" s="41">
        <v>374899.59</v>
      </c>
      <c r="N52" s="42">
        <v>75100.399999999965</v>
      </c>
      <c r="O52" s="216">
        <v>8.4337325301204802E-2</v>
      </c>
      <c r="P52" s="216"/>
      <c r="Q52" s="41">
        <v>449999.99</v>
      </c>
      <c r="R52" s="41">
        <v>407220.41</v>
      </c>
      <c r="S52" s="42">
        <v>42779.580000000016</v>
      </c>
      <c r="T52" s="216">
        <f t="shared" si="26"/>
        <v>0</v>
      </c>
      <c r="U52" s="216"/>
      <c r="V52" s="41">
        <f>'710-ROD Principal'!AF23</f>
        <v>445000</v>
      </c>
      <c r="W52" s="425">
        <f>'710-ROD Principal'!AG23</f>
        <v>445000</v>
      </c>
      <c r="X52" s="41">
        <f>'710-ROD Principal'!AH23</f>
        <v>445000</v>
      </c>
      <c r="Y52" s="42">
        <f t="shared" si="3"/>
        <v>0</v>
      </c>
      <c r="Z52" s="281">
        <f t="shared" si="4"/>
        <v>-1.1111089135801961E-2</v>
      </c>
      <c r="AA52" s="216"/>
      <c r="AB52" s="43">
        <f>'710-ROD Principal'!AK23</f>
        <v>440000</v>
      </c>
      <c r="AC52" s="41">
        <f>AB52-W52</f>
        <v>-5000</v>
      </c>
      <c r="AD52" s="89">
        <f t="shared" si="23"/>
        <v>-1.1235955056179775E-2</v>
      </c>
      <c r="AE52" s="506" t="e">
        <f t="shared" ca="1" si="27"/>
        <v>#NAME?</v>
      </c>
      <c r="AF52" s="506"/>
      <c r="AG52" s="43">
        <f>'710-ROD Principal'!AO23</f>
        <v>440000</v>
      </c>
      <c r="AH52" s="41">
        <f>AG52-AB52</f>
        <v>0</v>
      </c>
      <c r="AI52" s="89">
        <f t="shared" si="24"/>
        <v>0</v>
      </c>
      <c r="AJ52" s="506">
        <f t="shared" si="14"/>
        <v>4.3114664916196407E-2</v>
      </c>
      <c r="AK52" s="44">
        <f>AG52-L52</f>
        <v>-9999.9899999999907</v>
      </c>
      <c r="AL52" s="207">
        <f t="shared" si="25"/>
        <v>-2.2222200493826658E-2</v>
      </c>
      <c r="AM52" s="207">
        <f t="shared" si="8"/>
        <v>-7.4074001646088862E-3</v>
      </c>
      <c r="AO52" s="44">
        <f>AG52-D52</f>
        <v>15000</v>
      </c>
      <c r="AP52" s="207">
        <f t="shared" si="10"/>
        <v>3.5294117647058823E-2</v>
      </c>
      <c r="AQ52" s="436">
        <f t="shared" si="11"/>
        <v>7.058823529411765E-3</v>
      </c>
    </row>
    <row r="53" spans="1:43" ht="19.5" customHeight="1" x14ac:dyDescent="0.3">
      <c r="A53" s="27" t="s">
        <v>1014</v>
      </c>
      <c r="B53" s="40" t="s">
        <v>171</v>
      </c>
      <c r="C53" s="45" t="s">
        <v>831</v>
      </c>
      <c r="D53" s="41">
        <v>117526.87</v>
      </c>
      <c r="E53" s="41">
        <v>117526.88</v>
      </c>
      <c r="F53" s="42">
        <v>-1.0000000009313226E-2</v>
      </c>
      <c r="G53" s="396">
        <v>0.15474337296581586</v>
      </c>
      <c r="H53" s="41">
        <v>104923.75</v>
      </c>
      <c r="I53" s="41">
        <v>97647.92</v>
      </c>
      <c r="J53" s="42">
        <v>7275.8300000000017</v>
      </c>
      <c r="K53" s="216">
        <v>0.15474337296581586</v>
      </c>
      <c r="L53" s="41">
        <v>91894.06</v>
      </c>
      <c r="M53" s="41">
        <v>91593.06</v>
      </c>
      <c r="N53" s="42">
        <v>301</v>
      </c>
      <c r="O53" s="216">
        <v>-0.12418246583828735</v>
      </c>
      <c r="P53" s="216"/>
      <c r="Q53" s="41">
        <v>71700</v>
      </c>
      <c r="R53" s="41">
        <v>71700</v>
      </c>
      <c r="S53" s="42">
        <v>0</v>
      </c>
      <c r="T53" s="216">
        <f t="shared" si="26"/>
        <v>-0.2197537033405641</v>
      </c>
      <c r="U53" s="216"/>
      <c r="V53" s="41">
        <f>'751&amp;752-ROD Interest'!AF22</f>
        <v>61500</v>
      </c>
      <c r="W53" s="425">
        <f>'751&amp;752-ROD Interest'!AG22</f>
        <v>61500</v>
      </c>
      <c r="X53" s="41">
        <f>'751&amp;752-ROD Interest'!AH22</f>
        <v>61500</v>
      </c>
      <c r="Y53" s="42">
        <f t="shared" si="3"/>
        <v>0</v>
      </c>
      <c r="Z53" s="281">
        <f t="shared" si="4"/>
        <v>-0.14225941422594143</v>
      </c>
      <c r="AA53" s="216"/>
      <c r="AB53" s="43">
        <f>'751&amp;752-ROD Interest'!AK22</f>
        <v>52150</v>
      </c>
      <c r="AC53" s="41">
        <f>AB53-W53</f>
        <v>-9350</v>
      </c>
      <c r="AD53" s="89">
        <f t="shared" si="23"/>
        <v>-0.15203252032520326</v>
      </c>
      <c r="AE53" s="506" t="e">
        <f t="shared" ca="1" si="27"/>
        <v>#NAME?</v>
      </c>
      <c r="AF53" s="506"/>
      <c r="AG53" s="43">
        <f>'751&amp;752-ROD Interest'!AN22</f>
        <v>41600</v>
      </c>
      <c r="AH53" s="41">
        <f>AG53-AB53</f>
        <v>-10550</v>
      </c>
      <c r="AI53" s="89">
        <f t="shared" si="24"/>
        <v>-0.20230105465004794</v>
      </c>
      <c r="AJ53" s="506">
        <f t="shared" si="14"/>
        <v>4.0762955920767511E-3</v>
      </c>
      <c r="AK53" s="44">
        <f>AG53-L53</f>
        <v>-50294.06</v>
      </c>
      <c r="AL53" s="207">
        <f t="shared" si="25"/>
        <v>-0.54730479859089909</v>
      </c>
      <c r="AM53" s="207">
        <f t="shared" si="8"/>
        <v>-0.18243493286363302</v>
      </c>
      <c r="AO53" s="44">
        <f>AG53-D53</f>
        <v>-75926.87</v>
      </c>
      <c r="AP53" s="207">
        <f t="shared" si="10"/>
        <v>-0.6460383910504891</v>
      </c>
      <c r="AQ53" s="436">
        <f t="shared" si="11"/>
        <v>-0.12920767821009782</v>
      </c>
    </row>
    <row r="54" spans="1:43" ht="19.5" customHeight="1" x14ac:dyDescent="0.3">
      <c r="A54" s="27" t="s">
        <v>1015</v>
      </c>
      <c r="B54" s="40" t="s">
        <v>172</v>
      </c>
      <c r="C54" s="45" t="s">
        <v>1960</v>
      </c>
      <c r="D54" s="41">
        <v>3400</v>
      </c>
      <c r="E54" s="41">
        <v>576</v>
      </c>
      <c r="F54" s="42">
        <v>2824</v>
      </c>
      <c r="G54" s="396">
        <v>-0.86338797814207646</v>
      </c>
      <c r="H54" s="41">
        <v>100</v>
      </c>
      <c r="I54" s="41">
        <v>500</v>
      </c>
      <c r="J54" s="42">
        <v>-400</v>
      </c>
      <c r="K54" s="216">
        <v>-0.86338797814207646</v>
      </c>
      <c r="L54" s="41">
        <v>100</v>
      </c>
      <c r="M54" s="41">
        <v>500</v>
      </c>
      <c r="N54" s="42">
        <v>-400</v>
      </c>
      <c r="O54" s="216">
        <v>0</v>
      </c>
      <c r="P54" s="216"/>
      <c r="Q54" s="41">
        <v>500</v>
      </c>
      <c r="R54" s="41">
        <v>500</v>
      </c>
      <c r="S54" s="42">
        <v>0</v>
      </c>
      <c r="T54" s="216">
        <f t="shared" si="26"/>
        <v>4</v>
      </c>
      <c r="U54" s="216"/>
      <c r="V54" s="41">
        <f>'752-Short-Term Interest'!AF15</f>
        <v>500</v>
      </c>
      <c r="W54" s="425">
        <f>'752-Short-Term Interest'!AG15</f>
        <v>500</v>
      </c>
      <c r="X54" s="41">
        <f>'752-Short-Term Interest'!AH15</f>
        <v>0</v>
      </c>
      <c r="Y54" s="42">
        <f t="shared" si="3"/>
        <v>500</v>
      </c>
      <c r="Z54" s="281">
        <f t="shared" si="4"/>
        <v>0</v>
      </c>
      <c r="AA54" s="216"/>
      <c r="AB54" s="43">
        <f>'752-Short-Term Interest'!AG15</f>
        <v>500</v>
      </c>
      <c r="AC54" s="41">
        <f>AB54-W54</f>
        <v>0</v>
      </c>
      <c r="AD54" s="89">
        <f t="shared" si="23"/>
        <v>0</v>
      </c>
      <c r="AE54" s="506" t="e">
        <f t="shared" ca="1" si="27"/>
        <v>#NAME?</v>
      </c>
      <c r="AF54" s="506"/>
      <c r="AG54" s="43">
        <f>'752-Short-Term Interest'!AK15</f>
        <v>500</v>
      </c>
      <c r="AH54" s="41">
        <f>AG54-AB54</f>
        <v>0</v>
      </c>
      <c r="AI54" s="89">
        <f t="shared" si="24"/>
        <v>0</v>
      </c>
      <c r="AJ54" s="506">
        <f t="shared" si="14"/>
        <v>4.8993937404768646E-5</v>
      </c>
      <c r="AK54" s="44">
        <f>AG54-L54</f>
        <v>400</v>
      </c>
      <c r="AL54" s="207">
        <f t="shared" si="25"/>
        <v>4</v>
      </c>
      <c r="AM54" s="207">
        <f t="shared" si="8"/>
        <v>1.3333333333333333</v>
      </c>
      <c r="AO54" s="44">
        <f>AG54-D54</f>
        <v>-2900</v>
      </c>
      <c r="AP54" s="207">
        <f t="shared" si="10"/>
        <v>-0.8529411764705882</v>
      </c>
      <c r="AQ54" s="436">
        <f t="shared" si="11"/>
        <v>-0.17058823529411765</v>
      </c>
    </row>
    <row r="55" spans="1:43" s="49" customFormat="1" ht="14.25" x14ac:dyDescent="0.3">
      <c r="B55" s="46"/>
      <c r="C55" s="47" t="s">
        <v>173</v>
      </c>
      <c r="D55" s="48">
        <f>SUM(D52:D54)</f>
        <v>545926.87</v>
      </c>
      <c r="E55" s="48">
        <f>SUM(E52:E54)</f>
        <v>513102.88</v>
      </c>
      <c r="F55" s="48">
        <f>D55-E55</f>
        <v>32823.989999999991</v>
      </c>
      <c r="G55" s="165">
        <v>0.33831952443054847</v>
      </c>
      <c r="H55" s="48">
        <f>SUM(H52:H54)</f>
        <v>520023.75</v>
      </c>
      <c r="I55" s="48">
        <f>SUM(I52:I54)</f>
        <v>513147.92</v>
      </c>
      <c r="J55" s="48">
        <f>H55-I55</f>
        <v>6875.8300000000163</v>
      </c>
      <c r="K55" s="165">
        <v>0.33831952443054847</v>
      </c>
      <c r="L55" s="48">
        <f>SUM(L52:L54)</f>
        <v>541994.05000000005</v>
      </c>
      <c r="M55" s="48">
        <f>SUM(M52:M54)</f>
        <v>466992.65</v>
      </c>
      <c r="N55" s="48">
        <f>L55-M55</f>
        <v>75001.400000000023</v>
      </c>
      <c r="O55" s="165">
        <f>(L55-H55)/H55</f>
        <v>4.2248647297359103E-2</v>
      </c>
      <c r="P55" s="216"/>
      <c r="Q55" s="48">
        <f>SUM(Q52:Q54)</f>
        <v>522199.99</v>
      </c>
      <c r="R55" s="48">
        <f>SUM(R52:R54)</f>
        <v>479420.41</v>
      </c>
      <c r="S55" s="48">
        <f>Q55-R55</f>
        <v>42779.580000000016</v>
      </c>
      <c r="T55" s="165">
        <f t="shared" si="26"/>
        <v>-3.6520806824355462E-2</v>
      </c>
      <c r="U55" s="216"/>
      <c r="V55" s="48">
        <f>SUM(V52:V54)</f>
        <v>507000</v>
      </c>
      <c r="W55" s="48">
        <f>SUM(W52:W54)</f>
        <v>507000</v>
      </c>
      <c r="X55" s="48">
        <f>SUM(X52:X54)</f>
        <v>506500</v>
      </c>
      <c r="Y55" s="48">
        <f t="shared" si="3"/>
        <v>500</v>
      </c>
      <c r="Z55" s="282">
        <f t="shared" si="4"/>
        <v>-2.9107603008571469E-2</v>
      </c>
      <c r="AA55" s="216"/>
      <c r="AB55" s="48">
        <f>SUM(AB52:AB54)</f>
        <v>492650</v>
      </c>
      <c r="AC55" s="48">
        <f>SUM(AC52:AC54)</f>
        <v>-14350</v>
      </c>
      <c r="AD55" s="208">
        <f t="shared" si="23"/>
        <v>-2.8303747534516765E-2</v>
      </c>
      <c r="AE55" s="508" t="e">
        <f t="shared" ca="1" si="27"/>
        <v>#NAME?</v>
      </c>
      <c r="AF55" s="508"/>
      <c r="AG55" s="48">
        <f>SUM(AG52:AG54)</f>
        <v>482100</v>
      </c>
      <c r="AH55" s="48">
        <f>SUM(AH52:AH54)</f>
        <v>-10550</v>
      </c>
      <c r="AI55" s="208">
        <f t="shared" si="24"/>
        <v>-2.1414797523596873E-2</v>
      </c>
      <c r="AJ55" s="508">
        <f t="shared" si="14"/>
        <v>4.7239954445677926E-2</v>
      </c>
      <c r="AK55" s="51">
        <f>SUM(AK52:AK54)</f>
        <v>-59894.049999999988</v>
      </c>
      <c r="AL55" s="209">
        <f t="shared" si="25"/>
        <v>-0.1105068404348719</v>
      </c>
      <c r="AM55" s="209">
        <f>AL55/3</f>
        <v>-3.6835613478290632E-2</v>
      </c>
      <c r="AO55" s="51">
        <f>SUM(AO52:AO54)</f>
        <v>-63826.869999999995</v>
      </c>
      <c r="AP55" s="209">
        <f>AO55/D55</f>
        <v>-0.11691468859189875</v>
      </c>
      <c r="AQ55" s="209">
        <f>AP55/5</f>
        <v>-2.3382937718379751E-2</v>
      </c>
    </row>
    <row r="56" spans="1:43" ht="19.5" customHeight="1" x14ac:dyDescent="0.3">
      <c r="A56" s="27" t="s">
        <v>1016</v>
      </c>
      <c r="B56" s="40" t="s">
        <v>174</v>
      </c>
      <c r="C56" s="45" t="s">
        <v>843</v>
      </c>
      <c r="D56" s="41">
        <v>154661</v>
      </c>
      <c r="E56" s="41">
        <v>154661</v>
      </c>
      <c r="F56" s="42">
        <v>0</v>
      </c>
      <c r="G56" s="396">
        <v>2.4103347555231892E-2</v>
      </c>
      <c r="H56" s="41">
        <v>176600</v>
      </c>
      <c r="I56" s="41">
        <v>176600</v>
      </c>
      <c r="J56" s="42">
        <v>0</v>
      </c>
      <c r="K56" s="216">
        <v>2.4103347555231892E-2</v>
      </c>
      <c r="L56" s="41">
        <v>173808</v>
      </c>
      <c r="M56" s="41">
        <v>173808</v>
      </c>
      <c r="N56" s="42">
        <v>0</v>
      </c>
      <c r="O56" s="216">
        <v>-1.5809739524348811E-2</v>
      </c>
      <c r="P56" s="216"/>
      <c r="Q56" s="41">
        <v>173809</v>
      </c>
      <c r="R56" s="41">
        <v>173809</v>
      </c>
      <c r="S56" s="42">
        <v>0</v>
      </c>
      <c r="T56" s="216">
        <f t="shared" si="26"/>
        <v>5.7534750989597715E-6</v>
      </c>
      <c r="U56" s="216"/>
      <c r="V56" s="41">
        <f>'840-Other Assessments'!AF14</f>
        <v>172197</v>
      </c>
      <c r="W56" s="425">
        <f>'840-Other Assessments'!AF14</f>
        <v>172197</v>
      </c>
      <c r="X56" s="41">
        <f>'840-Other Assessments'!AG14</f>
        <v>172197</v>
      </c>
      <c r="Y56" s="42">
        <f>W56-X56</f>
        <v>0</v>
      </c>
      <c r="Z56" s="281">
        <f t="shared" si="4"/>
        <v>-9.2745484986393109E-3</v>
      </c>
      <c r="AA56" s="216"/>
      <c r="AB56" s="43">
        <f>'840-Other Assessments'!AJ14</f>
        <v>182062</v>
      </c>
      <c r="AC56" s="41">
        <f>AB56-W56</f>
        <v>9865</v>
      </c>
      <c r="AD56" s="89">
        <f t="shared" si="23"/>
        <v>5.7289035232901853E-2</v>
      </c>
      <c r="AE56" s="506" t="e">
        <f t="shared" ca="1" si="27"/>
        <v>#NAME?</v>
      </c>
      <c r="AF56" s="506"/>
      <c r="AG56" s="43">
        <f>'840-Other Assessments'!AN14</f>
        <v>169186</v>
      </c>
      <c r="AH56" s="41">
        <f>AG56-AB56</f>
        <v>-12876</v>
      </c>
      <c r="AI56" s="89">
        <f t="shared" si="24"/>
        <v>-7.0723160242115321E-2</v>
      </c>
      <c r="AJ56" s="506">
        <f t="shared" si="14"/>
        <v>1.6578176587526375E-2</v>
      </c>
      <c r="AK56" s="44">
        <f>AG56-L56</f>
        <v>-4622</v>
      </c>
      <c r="AL56" s="207">
        <f t="shared" si="25"/>
        <v>-2.6592561907392065E-2</v>
      </c>
      <c r="AM56" s="207">
        <f t="shared" si="8"/>
        <v>-8.8641873024640216E-3</v>
      </c>
      <c r="AO56" s="44">
        <f>AG56-D56</f>
        <v>14525</v>
      </c>
      <c r="AP56" s="207">
        <f t="shared" si="10"/>
        <v>9.3915078785214115E-2</v>
      </c>
      <c r="AQ56" s="436">
        <f t="shared" si="11"/>
        <v>1.8783015757042824E-2</v>
      </c>
    </row>
    <row r="57" spans="1:43" s="49" customFormat="1" ht="18.75" customHeight="1" x14ac:dyDescent="0.3">
      <c r="B57" s="46"/>
      <c r="C57" s="47" t="s">
        <v>175</v>
      </c>
      <c r="D57" s="48">
        <f>SUM(D56)</f>
        <v>154661</v>
      </c>
      <c r="E57" s="48">
        <f>SUM(E56)</f>
        <v>154661</v>
      </c>
      <c r="F57" s="48">
        <f>D57-E57</f>
        <v>0</v>
      </c>
      <c r="G57" s="165">
        <v>2.4103347555231892E-2</v>
      </c>
      <c r="H57" s="48">
        <f>SUM(H56)</f>
        <v>176600</v>
      </c>
      <c r="I57" s="48">
        <f>SUM(I56)</f>
        <v>176600</v>
      </c>
      <c r="J57" s="48">
        <f>H57-I57</f>
        <v>0</v>
      </c>
      <c r="K57" s="165">
        <v>2.4103347555231892E-2</v>
      </c>
      <c r="L57" s="48">
        <f>SUM(L56)</f>
        <v>173808</v>
      </c>
      <c r="M57" s="48">
        <f>SUM(M56)</f>
        <v>173808</v>
      </c>
      <c r="N57" s="48">
        <f>L57-M57</f>
        <v>0</v>
      </c>
      <c r="O57" s="165">
        <f>(L57-H57)/H57</f>
        <v>-1.5809739524348811E-2</v>
      </c>
      <c r="P57" s="216"/>
      <c r="Q57" s="48">
        <f>SUM(Q56)</f>
        <v>173809</v>
      </c>
      <c r="R57" s="48">
        <f>SUM(R56)</f>
        <v>173809</v>
      </c>
      <c r="S57" s="48">
        <f>Q57-R57</f>
        <v>0</v>
      </c>
      <c r="T57" s="165">
        <f t="shared" si="26"/>
        <v>5.7534750989597715E-6</v>
      </c>
      <c r="U57" s="216"/>
      <c r="V57" s="48">
        <f>SUM(V56)</f>
        <v>172197</v>
      </c>
      <c r="W57" s="48">
        <f>SUM(W56)</f>
        <v>172197</v>
      </c>
      <c r="X57" s="48">
        <f>SUM(X56)</f>
        <v>172197</v>
      </c>
      <c r="Y57" s="48">
        <f>W57-X57</f>
        <v>0</v>
      </c>
      <c r="Z57" s="282">
        <f t="shared" si="4"/>
        <v>-9.2745484986393109E-3</v>
      </c>
      <c r="AA57" s="216"/>
      <c r="AB57" s="48">
        <f>SUM(AB56)</f>
        <v>182062</v>
      </c>
      <c r="AC57" s="48">
        <f>SUM(AC56)</f>
        <v>9865</v>
      </c>
      <c r="AD57" s="208">
        <f t="shared" si="23"/>
        <v>5.7289035232901853E-2</v>
      </c>
      <c r="AE57" s="508" t="e">
        <f t="shared" ca="1" si="27"/>
        <v>#NAME?</v>
      </c>
      <c r="AF57" s="508"/>
      <c r="AG57" s="48">
        <f>SUM(AG56)</f>
        <v>169186</v>
      </c>
      <c r="AH57" s="48">
        <f>SUM(AH56)</f>
        <v>-12876</v>
      </c>
      <c r="AI57" s="208">
        <f t="shared" si="24"/>
        <v>-7.0723160242115321E-2</v>
      </c>
      <c r="AJ57" s="508">
        <f>AG57/$AG$64</f>
        <v>1.6578176587526375E-2</v>
      </c>
      <c r="AK57" s="51">
        <f>SUM(AK56)</f>
        <v>-4622</v>
      </c>
      <c r="AL57" s="209">
        <f t="shared" si="25"/>
        <v>-2.6592561907392065E-2</v>
      </c>
      <c r="AM57" s="209">
        <f>AL57/3</f>
        <v>-8.8641873024640216E-3</v>
      </c>
      <c r="AO57" s="51">
        <f>SUM(AO56)</f>
        <v>14525</v>
      </c>
      <c r="AP57" s="209">
        <f>AO57/D57</f>
        <v>9.3915078785214115E-2</v>
      </c>
      <c r="AQ57" s="209">
        <f>AP57/5</f>
        <v>1.8783015757042824E-2</v>
      </c>
    </row>
    <row r="58" spans="1:43" ht="19.5" customHeight="1" x14ac:dyDescent="0.3">
      <c r="A58" s="27" t="s">
        <v>1017</v>
      </c>
      <c r="B58" s="40" t="s">
        <v>176</v>
      </c>
      <c r="C58" s="45" t="s">
        <v>1961</v>
      </c>
      <c r="D58" s="41">
        <v>874672.42</v>
      </c>
      <c r="E58" s="41">
        <v>859308.6</v>
      </c>
      <c r="F58" s="42">
        <v>15363.820000000065</v>
      </c>
      <c r="G58" s="396">
        <v>4.9619707769970371E-2</v>
      </c>
      <c r="H58" s="41">
        <v>989874.62</v>
      </c>
      <c r="I58" s="41">
        <v>955382.42</v>
      </c>
      <c r="J58" s="42">
        <v>34492.199999999953</v>
      </c>
      <c r="K58" s="216">
        <v>4.9619707769970371E-2</v>
      </c>
      <c r="L58" s="41">
        <v>1124616.49</v>
      </c>
      <c r="M58" s="41">
        <v>1073740.8899999999</v>
      </c>
      <c r="N58" s="42">
        <v>50875.600000000093</v>
      </c>
      <c r="O58" s="216">
        <v>0.1361201381241596</v>
      </c>
      <c r="P58" s="216"/>
      <c r="Q58" s="41">
        <v>1158525.8899999999</v>
      </c>
      <c r="R58" s="41">
        <v>1049916.45</v>
      </c>
      <c r="S58" s="42">
        <v>108609.43999999994</v>
      </c>
      <c r="T58" s="216">
        <f t="shared" si="26"/>
        <v>3.0151967627648699E-2</v>
      </c>
      <c r="U58" s="216"/>
      <c r="V58" s="41">
        <f>'910-Benefits'!AF26</f>
        <v>1227618.0299999998</v>
      </c>
      <c r="W58" s="425">
        <f>'910-Benefits'!AG26</f>
        <v>1228418.0299999998</v>
      </c>
      <c r="X58" s="41">
        <f>'910-Benefits'!AH26</f>
        <v>1143829.6599999999</v>
      </c>
      <c r="Y58" s="42">
        <f>W58-X58</f>
        <v>84588.369999999879</v>
      </c>
      <c r="Z58" s="281">
        <f t="shared" si="4"/>
        <v>6.032850936115023E-2</v>
      </c>
      <c r="AA58" s="216"/>
      <c r="AB58" s="43">
        <f>'910-Benefits'!AK26</f>
        <v>1195760.6599999999</v>
      </c>
      <c r="AC58" s="41">
        <f>AB58-W58</f>
        <v>-32657.369999999879</v>
      </c>
      <c r="AD58" s="89">
        <f t="shared" si="23"/>
        <v>-2.6584899604575069E-2</v>
      </c>
      <c r="AE58" s="506" t="e">
        <f t="shared" ca="1" si="27"/>
        <v>#NAME?</v>
      </c>
      <c r="AF58" s="506"/>
      <c r="AG58" s="43">
        <f>'910-Benefits'!AO26</f>
        <v>1259592.1708609278</v>
      </c>
      <c r="AH58" s="41">
        <f>AG58-AB58</f>
        <v>63831.510860927869</v>
      </c>
      <c r="AI58" s="89">
        <f t="shared" si="24"/>
        <v>5.3381511029914529E-2</v>
      </c>
      <c r="AJ58" s="506">
        <f>AG58/$AG$64</f>
        <v>0.12342475994939389</v>
      </c>
      <c r="AK58" s="44">
        <f>AG58-L58</f>
        <v>134975.68086092779</v>
      </c>
      <c r="AL58" s="207">
        <f t="shared" si="25"/>
        <v>0.12001929729923114</v>
      </c>
      <c r="AM58" s="207">
        <f t="shared" si="8"/>
        <v>4.0006432433077048E-2</v>
      </c>
      <c r="AO58" s="44">
        <f>AG58-D58</f>
        <v>384919.75086092774</v>
      </c>
      <c r="AP58" s="207">
        <f t="shared" si="10"/>
        <v>0.44007303998556135</v>
      </c>
      <c r="AQ58" s="436">
        <f t="shared" si="11"/>
        <v>8.8014607997112276E-2</v>
      </c>
    </row>
    <row r="59" spans="1:43" ht="19.5" customHeight="1" x14ac:dyDescent="0.3">
      <c r="A59" s="27" t="s">
        <v>1018</v>
      </c>
      <c r="B59" s="40" t="s">
        <v>177</v>
      </c>
      <c r="C59" s="45" t="s">
        <v>1962</v>
      </c>
      <c r="D59" s="41">
        <v>150500</v>
      </c>
      <c r="E59" s="41">
        <v>148599.63</v>
      </c>
      <c r="F59" s="42">
        <v>1900.3699999999953</v>
      </c>
      <c r="G59" s="396">
        <v>0.18067226890756302</v>
      </c>
      <c r="H59" s="41">
        <v>150500</v>
      </c>
      <c r="I59" s="41">
        <v>131582.76</v>
      </c>
      <c r="J59" s="42">
        <v>18917.239999999991</v>
      </c>
      <c r="K59" s="216">
        <v>0.18067226890756302</v>
      </c>
      <c r="L59" s="41">
        <v>206809</v>
      </c>
      <c r="M59" s="41">
        <v>163328.09</v>
      </c>
      <c r="N59" s="42">
        <v>43480.91</v>
      </c>
      <c r="O59" s="216">
        <v>0.37414617940199335</v>
      </c>
      <c r="P59" s="216"/>
      <c r="Q59" s="41">
        <v>201000</v>
      </c>
      <c r="R59" s="41">
        <v>146788.70000000001</v>
      </c>
      <c r="S59" s="42">
        <v>54211.299999999988</v>
      </c>
      <c r="T59" s="216">
        <f t="shared" si="26"/>
        <v>-2.8088719543153343E-2</v>
      </c>
      <c r="U59" s="216"/>
      <c r="V59" s="41">
        <f>'945-Property &amp; Liability Ins'!AF16</f>
        <v>205700</v>
      </c>
      <c r="W59" s="425">
        <f>'945-Property &amp; Liability Ins'!AG16</f>
        <v>205700</v>
      </c>
      <c r="X59" s="41">
        <f>'945-Property &amp; Liability Ins'!AH16</f>
        <v>161546.77000000002</v>
      </c>
      <c r="Y59" s="42">
        <f>W59-X59</f>
        <v>44153.229999999981</v>
      </c>
      <c r="Z59" s="281">
        <f t="shared" si="4"/>
        <v>2.3383084577114428E-2</v>
      </c>
      <c r="AA59" s="216"/>
      <c r="AB59" s="43">
        <f>'945-Property &amp; Liability Ins'!AK16</f>
        <v>213000</v>
      </c>
      <c r="AC59" s="41">
        <f>AB59-W59</f>
        <v>7300</v>
      </c>
      <c r="AD59" s="89">
        <f t="shared" si="23"/>
        <v>3.5488575595527469E-2</v>
      </c>
      <c r="AE59" s="506" t="e">
        <f t="shared" ca="1" si="27"/>
        <v>#NAME?</v>
      </c>
      <c r="AF59" s="506"/>
      <c r="AG59" s="43">
        <f>'945-Property &amp; Liability Ins'!AO16</f>
        <v>218000</v>
      </c>
      <c r="AH59" s="41">
        <f>AG59-AB59</f>
        <v>5000</v>
      </c>
      <c r="AI59" s="89">
        <f t="shared" si="24"/>
        <v>2.3474178403755867E-2</v>
      </c>
      <c r="AJ59" s="506">
        <f>AG59/$AG$64</f>
        <v>2.1361356708479131E-2</v>
      </c>
      <c r="AK59" s="44">
        <f>AG59-L59</f>
        <v>11191</v>
      </c>
      <c r="AL59" s="207">
        <f t="shared" si="25"/>
        <v>5.4112732037773982E-2</v>
      </c>
      <c r="AM59" s="207">
        <f t="shared" si="8"/>
        <v>1.803757734592466E-2</v>
      </c>
      <c r="AO59" s="44">
        <f>AG59-D59</f>
        <v>67500</v>
      </c>
      <c r="AP59" s="207">
        <f t="shared" si="10"/>
        <v>0.44850498338870431</v>
      </c>
      <c r="AQ59" s="436">
        <f t="shared" si="11"/>
        <v>8.9700996677740868E-2</v>
      </c>
    </row>
    <row r="60" spans="1:43" s="49" customFormat="1" ht="18.75" customHeight="1" x14ac:dyDescent="0.3">
      <c r="B60" s="46"/>
      <c r="C60" s="47" t="s">
        <v>178</v>
      </c>
      <c r="D60" s="48">
        <f>SUM(D58:D59)</f>
        <v>1025172.42</v>
      </c>
      <c r="E60" s="48">
        <f>SUM(E58:E59)</f>
        <v>1007908.23</v>
      </c>
      <c r="F60" s="48">
        <f>D60-E60</f>
        <v>17264.190000000061</v>
      </c>
      <c r="G60" s="165">
        <v>6.6806076568733372E-2</v>
      </c>
      <c r="H60" s="48">
        <f>SUM(H58:H59)</f>
        <v>1140374.6200000001</v>
      </c>
      <c r="I60" s="48">
        <f>SUM(I58:I59)</f>
        <v>1086965.1800000002</v>
      </c>
      <c r="J60" s="48">
        <f>H60-I60</f>
        <v>53409.439999999944</v>
      </c>
      <c r="K60" s="165">
        <v>6.6806076568733372E-2</v>
      </c>
      <c r="L60" s="48">
        <f>SUM(L58:L59)</f>
        <v>1331425.49</v>
      </c>
      <c r="M60" s="48">
        <f>SUM(M58:M59)</f>
        <v>1237068.98</v>
      </c>
      <c r="N60" s="48">
        <f>L60-M60</f>
        <v>94356.510000000009</v>
      </c>
      <c r="O60" s="165">
        <f>(L60-H60)/H60</f>
        <v>0.16753342862014928</v>
      </c>
      <c r="P60" s="216"/>
      <c r="Q60" s="48">
        <f>SUM(Q58:Q59)</f>
        <v>1359525.89</v>
      </c>
      <c r="R60" s="48">
        <f>SUM(R58:R59)</f>
        <v>1196705.1499999999</v>
      </c>
      <c r="S60" s="48">
        <f>Q60-R60</f>
        <v>162820.74</v>
      </c>
      <c r="T60" s="165">
        <f t="shared" si="26"/>
        <v>2.1105499489873749E-2</v>
      </c>
      <c r="U60" s="216"/>
      <c r="V60" s="48">
        <f>SUM(V58:V59)</f>
        <v>1433318.0299999998</v>
      </c>
      <c r="W60" s="48">
        <f>SUM(W58:W59)</f>
        <v>1434118.0299999998</v>
      </c>
      <c r="X60" s="48">
        <f>SUM(X58:X59)</f>
        <v>1305376.43</v>
      </c>
      <c r="Y60" s="48">
        <f>W60-X60</f>
        <v>128741.59999999986</v>
      </c>
      <c r="Z60" s="282">
        <f t="shared" si="4"/>
        <v>5.4866288717752849E-2</v>
      </c>
      <c r="AA60" s="216"/>
      <c r="AB60" s="48">
        <f>SUM(AB58:AB59)</f>
        <v>1408760.66</v>
      </c>
      <c r="AC60" s="48">
        <f>SUM(AC58:AC59)</f>
        <v>-25357.369999999879</v>
      </c>
      <c r="AD60" s="208">
        <f t="shared" si="23"/>
        <v>-1.7681508404158258E-2</v>
      </c>
      <c r="AE60" s="508" t="e">
        <f t="shared" ca="1" si="27"/>
        <v>#NAME?</v>
      </c>
      <c r="AF60" s="508"/>
      <c r="AG60" s="48">
        <f>SUM(AG58:AG59)</f>
        <v>1477592.1708609278</v>
      </c>
      <c r="AH60" s="48">
        <f>SUM(AH58:AH59)</f>
        <v>68831.510860927869</v>
      </c>
      <c r="AI60" s="208">
        <f t="shared" si="24"/>
        <v>4.8859620243035376E-2</v>
      </c>
      <c r="AJ60" s="508">
        <f>AG60/$AG$64</f>
        <v>0.14478611665787303</v>
      </c>
      <c r="AK60" s="51">
        <f>SUM(AK58:AK59)</f>
        <v>146166.68086092779</v>
      </c>
      <c r="AL60" s="209">
        <f t="shared" si="25"/>
        <v>0.10978209592556906</v>
      </c>
      <c r="AM60" s="209">
        <f>AL60/3</f>
        <v>3.6594031975189685E-2</v>
      </c>
      <c r="AO60" s="51">
        <f>SUM(AO58:AO59)</f>
        <v>452419.75086092774</v>
      </c>
      <c r="AP60" s="209">
        <f>AO60/D60</f>
        <v>0.44131088784160594</v>
      </c>
      <c r="AQ60" s="209">
        <f>AP60/5</f>
        <v>8.8262177568321193E-2</v>
      </c>
    </row>
    <row r="61" spans="1:43" s="29" customFormat="1" x14ac:dyDescent="0.25">
      <c r="B61" s="53"/>
      <c r="C61" s="54"/>
      <c r="D61" s="55"/>
      <c r="E61" s="55"/>
      <c r="F61" s="42"/>
      <c r="G61" s="396"/>
      <c r="H61" s="55"/>
      <c r="I61" s="55"/>
      <c r="J61" s="42"/>
      <c r="K61" s="80"/>
      <c r="L61" s="55"/>
      <c r="M61" s="55"/>
      <c r="N61" s="42"/>
      <c r="O61" s="80"/>
      <c r="P61" s="216"/>
      <c r="Q61" s="55"/>
      <c r="R61" s="55"/>
      <c r="S61" s="42"/>
      <c r="T61" s="80"/>
      <c r="U61" s="216"/>
      <c r="V61" s="55"/>
      <c r="W61" s="55"/>
      <c r="X61" s="55"/>
      <c r="Y61" s="42"/>
      <c r="Z61" s="283"/>
      <c r="AA61" s="80"/>
      <c r="AB61" s="50"/>
      <c r="AC61" s="55">
        <f>AB61-AA61</f>
        <v>0</v>
      </c>
      <c r="AD61" s="89"/>
      <c r="AE61" s="509"/>
      <c r="AF61" s="509"/>
      <c r="AG61" s="50"/>
      <c r="AH61" s="55">
        <f>AG61-W61</f>
        <v>0</v>
      </c>
      <c r="AI61" s="89"/>
      <c r="AJ61" s="509"/>
      <c r="AK61" s="44"/>
      <c r="AL61" s="207"/>
      <c r="AM61" s="207"/>
      <c r="AN61" s="27"/>
      <c r="AO61" s="44"/>
      <c r="AP61" s="207"/>
      <c r="AQ61" s="207"/>
    </row>
    <row r="62" spans="1:43" s="49" customFormat="1" ht="27" customHeight="1" x14ac:dyDescent="0.3">
      <c r="C62" s="49" t="s">
        <v>1292</v>
      </c>
      <c r="D62" s="48">
        <f>D25+D35+D37+D42+D45+D51+D55+D57+D60</f>
        <v>8154713.5799999991</v>
      </c>
      <c r="E62" s="50">
        <f>E25+E35+E37+E42+E45+E51+E55+E57+E60</f>
        <v>8082589.0199999996</v>
      </c>
      <c r="F62" s="48">
        <f>D62-E62</f>
        <v>72124.55999999959</v>
      </c>
      <c r="G62" s="165">
        <v>8.6162584962413774E-2</v>
      </c>
      <c r="H62" s="48">
        <f>H25+H35+H37+H42+H45+H51+H55+H57+H60</f>
        <v>8683954.8399999999</v>
      </c>
      <c r="I62" s="50">
        <f>I25+I35+I37+I42+I45+I51+I55+I57+I60</f>
        <v>8518434.1899999995</v>
      </c>
      <c r="J62" s="48">
        <f>H62-I62</f>
        <v>165520.65000000037</v>
      </c>
      <c r="K62" s="165">
        <v>8.6162584962413774E-2</v>
      </c>
      <c r="L62" s="352">
        <f>L25+L35+L37+L42+L45+L51+L55+L57+L60</f>
        <v>8903332.7599999998</v>
      </c>
      <c r="M62" s="354">
        <f>M25+M35+M37+M42+M45+M51+M55+M57+M60</f>
        <v>8558047.9400000013</v>
      </c>
      <c r="N62" s="354">
        <f>L62-M62</f>
        <v>345284.81999999844</v>
      </c>
      <c r="O62" s="355">
        <f>(L62-H62)/H62</f>
        <v>2.5262443672496106E-2</v>
      </c>
      <c r="P62" s="216"/>
      <c r="Q62" s="352">
        <f>Q25+Q35+Q37+Q42+Q45+Q51+Q55+Q57+Q60</f>
        <v>9076737.1799999997</v>
      </c>
      <c r="R62" s="354">
        <f>R25+R35+R37+R42+R45+R51+R55+R57+R60</f>
        <v>8664486.790000001</v>
      </c>
      <c r="S62" s="354">
        <f>Q62-R62</f>
        <v>412250.38999999873</v>
      </c>
      <c r="T62" s="355">
        <f>(Q62-L62)/L62</f>
        <v>1.9476349438387153E-2</v>
      </c>
      <c r="U62" s="216"/>
      <c r="V62" s="352" t="e">
        <f ca="1">V25+V35+V37+V42+V45+V51+V55+V57+V60</f>
        <v>#NAME?</v>
      </c>
      <c r="W62" s="354">
        <f>W25+W35+W37+W42+W45+W51+W55+W57+W60</f>
        <v>9725859.5800000001</v>
      </c>
      <c r="X62" s="354">
        <f>X25+X35+X37+X42+X45+X51+X55+X57+X60</f>
        <v>9075165.5700000003</v>
      </c>
      <c r="Y62" s="354">
        <f>Y25+Y35+Y37+Y42+Y45+Y51+Y55+Y57+Y60</f>
        <v>650694.00999999978</v>
      </c>
      <c r="Z62" s="355">
        <f t="shared" si="4"/>
        <v>7.1514949384047316E-2</v>
      </c>
      <c r="AA62" s="216"/>
      <c r="AB62" s="364" t="e">
        <f ca="1">AB25+AB35+AB37+AB42+AB45+AB51+AB55+AB57+AB60-0.01</f>
        <v>#NAME?</v>
      </c>
      <c r="AC62" s="353" t="e">
        <f ca="1">AB62-W62</f>
        <v>#NAME?</v>
      </c>
      <c r="AD62" s="355" t="e">
        <f ca="1">AC62/W62</f>
        <v>#NAME?</v>
      </c>
      <c r="AE62" s="508" t="e">
        <f ca="1">AE25+AE35+AE37+AE42+AE45+AE51+AE55+AE57+AE60</f>
        <v>#NAME?</v>
      </c>
      <c r="AF62" s="508"/>
      <c r="AG62" s="364">
        <f>AG25+AG35+AG37+AG42+AG45+AG51+AG55+AG57+AG60</f>
        <v>10221374.975304261</v>
      </c>
      <c r="AH62" s="353" t="e">
        <f ca="1">AG62-AB62</f>
        <v>#NAME?</v>
      </c>
      <c r="AI62" s="355" t="e">
        <f ca="1">AH62/AB62</f>
        <v>#NAME?</v>
      </c>
      <c r="AJ62" s="508">
        <f>AJ25+AJ35+AJ37+AJ42+AJ45+AJ51+AJ55+AJ57+AJ60</f>
        <v>1.0015708114614512</v>
      </c>
      <c r="AK62" s="353">
        <f>AK25+AK35+AK37+AK42+AK45+AK51+AK55+AK57+AK60</f>
        <v>1318042.2153042608</v>
      </c>
      <c r="AL62" s="365">
        <f>AK62/L62</f>
        <v>0.14803919507825528</v>
      </c>
      <c r="AM62" s="366">
        <f>AL62/3</f>
        <v>4.9346398359418425E-2</v>
      </c>
      <c r="AO62" s="353">
        <f>AO25+AO35+AO37+AO42+AO45+AO51+AO55+AO57+AO60</f>
        <v>2066661.3953042608</v>
      </c>
      <c r="AP62" s="209">
        <f>AO62/D62</f>
        <v>0.25343151234310562</v>
      </c>
      <c r="AQ62" s="209">
        <f>AP62/5</f>
        <v>5.0686302468621124E-2</v>
      </c>
    </row>
    <row r="63" spans="1:43" ht="21" customHeight="1" x14ac:dyDescent="0.3">
      <c r="A63" s="313"/>
      <c r="B63" s="313"/>
      <c r="C63" s="313" t="s">
        <v>1324</v>
      </c>
      <c r="D63" s="56">
        <f>D18</f>
        <v>11109.31</v>
      </c>
      <c r="E63" s="184">
        <v>521.97</v>
      </c>
      <c r="H63" s="56">
        <f>H18</f>
        <v>11573.89</v>
      </c>
      <c r="I63" s="184">
        <v>521.97</v>
      </c>
      <c r="L63" s="356">
        <f>L18</f>
        <v>16071.72</v>
      </c>
      <c r="M63" s="357">
        <f>M18</f>
        <v>11439.47</v>
      </c>
      <c r="N63" s="358"/>
      <c r="O63" s="359"/>
      <c r="Q63" s="356">
        <f>Q18</f>
        <v>16486.490000000002</v>
      </c>
      <c r="R63" s="357">
        <f>Q63-K63</f>
        <v>16486.490000000002</v>
      </c>
      <c r="S63" s="358"/>
      <c r="T63" s="359"/>
      <c r="V63" s="356">
        <v>14582.08</v>
      </c>
      <c r="W63" s="357">
        <f>W18</f>
        <v>15871.16</v>
      </c>
      <c r="X63" s="357"/>
      <c r="Y63" s="358"/>
      <c r="Z63" s="359"/>
      <c r="AB63" s="356">
        <f>AB18</f>
        <v>16545.97</v>
      </c>
      <c r="AC63" s="357">
        <f>AB63-W63</f>
        <v>674.81000000000131</v>
      </c>
      <c r="AD63" s="359"/>
      <c r="AE63" s="506" t="e">
        <f ca="1">AB63/$AB$64</f>
        <v>#NAME?</v>
      </c>
      <c r="AF63" s="506"/>
      <c r="AG63" s="356">
        <f>AG18</f>
        <v>16030.6718</v>
      </c>
      <c r="AH63" s="357">
        <f>AG63-AB63</f>
        <v>-515.29820000000109</v>
      </c>
      <c r="AI63" s="359"/>
      <c r="AJ63" s="506">
        <f>AG63/$AG$64</f>
        <v>1.5708114614511799E-3</v>
      </c>
      <c r="AK63" s="367"/>
      <c r="AL63" s="358"/>
      <c r="AM63" s="359"/>
      <c r="AO63" s="367"/>
      <c r="AP63" s="358"/>
      <c r="AQ63" s="359"/>
    </row>
    <row r="64" spans="1:43" ht="27.75" customHeight="1" x14ac:dyDescent="0.3">
      <c r="C64" s="314" t="s">
        <v>1920</v>
      </c>
      <c r="D64" s="185">
        <f>D62-D63</f>
        <v>8143604.2699999996</v>
      </c>
      <c r="E64" s="185">
        <f>E62-E63</f>
        <v>8082067.0499999998</v>
      </c>
      <c r="F64" s="52"/>
      <c r="H64" s="185">
        <f>H62-H63</f>
        <v>8672380.9499999993</v>
      </c>
      <c r="I64" s="185">
        <f>I62-I63</f>
        <v>8517912.2199999988</v>
      </c>
      <c r="J64" s="52"/>
      <c r="L64" s="360">
        <f>L62-L63</f>
        <v>8887261.0399999991</v>
      </c>
      <c r="M64" s="361">
        <f>M62-M63</f>
        <v>8546608.4700000007</v>
      </c>
      <c r="N64" s="362"/>
      <c r="O64" s="363">
        <f>(L64-H64)/H64</f>
        <v>2.477751971908013E-2</v>
      </c>
      <c r="P64" s="216"/>
      <c r="Q64" s="360">
        <f>Q62-Q63</f>
        <v>9060250.6899999995</v>
      </c>
      <c r="R64" s="361">
        <f>R62-R63</f>
        <v>8648000.3000000007</v>
      </c>
      <c r="S64" s="362"/>
      <c r="T64" s="363">
        <f>(Q64-L64)/L64</f>
        <v>1.9464900290584959E-2</v>
      </c>
      <c r="U64" s="216"/>
      <c r="V64" s="361" t="e">
        <f ca="1">V62-V63</f>
        <v>#NAME?</v>
      </c>
      <c r="W64" s="361">
        <f>W62-W63</f>
        <v>9709988.4199999999</v>
      </c>
      <c r="X64" s="361">
        <f>X62-X63</f>
        <v>9075165.5700000003</v>
      </c>
      <c r="Y64" s="362"/>
      <c r="Z64" s="363">
        <f>(W64-Q64)/Q64</f>
        <v>7.1712996939160903E-2</v>
      </c>
      <c r="AA64" s="216"/>
      <c r="AB64" s="368" t="e">
        <f ca="1">AB62-AB63</f>
        <v>#NAME?</v>
      </c>
      <c r="AC64" s="361" t="e">
        <f ca="1">AC62-AC63</f>
        <v>#NAME?</v>
      </c>
      <c r="AD64" s="363" t="e">
        <f ca="1">AC64/W64</f>
        <v>#NAME?</v>
      </c>
      <c r="AE64" s="506" t="e">
        <f ca="1">AE62-AE63</f>
        <v>#NAME?</v>
      </c>
      <c r="AF64" s="506"/>
      <c r="AG64" s="368">
        <f>AG62-AG63</f>
        <v>10205344.30350426</v>
      </c>
      <c r="AH64" s="361" t="e">
        <f ca="1">AH62-AH63</f>
        <v>#NAME?</v>
      </c>
      <c r="AI64" s="363" t="e">
        <f ca="1">AH64/AB64</f>
        <v>#NAME?</v>
      </c>
      <c r="AJ64" s="506">
        <f>AJ62-AJ63</f>
        <v>1</v>
      </c>
      <c r="AK64" s="369"/>
      <c r="AL64" s="369"/>
      <c r="AM64" s="370"/>
      <c r="AO64" s="369"/>
      <c r="AP64" s="369"/>
      <c r="AQ64" s="370"/>
    </row>
    <row r="66" spans="4:34" x14ac:dyDescent="0.25">
      <c r="X66" s="312">
        <v>-2163.2399999999998</v>
      </c>
      <c r="Y66" s="333" t="s">
        <v>1295</v>
      </c>
      <c r="AC66" s="28"/>
      <c r="AH66" s="28"/>
    </row>
    <row r="67" spans="4:34" x14ac:dyDescent="0.25">
      <c r="X67" s="312">
        <v>4000</v>
      </c>
      <c r="Y67" s="333" t="s">
        <v>1296</v>
      </c>
      <c r="AB67" s="311"/>
      <c r="AG67" s="311"/>
    </row>
    <row r="68" spans="4:34" x14ac:dyDescent="0.25">
      <c r="D68" s="327"/>
      <c r="H68" s="327">
        <v>9052108.1699999999</v>
      </c>
      <c r="T68" s="351" t="s">
        <v>1325</v>
      </c>
      <c r="V68" s="57">
        <v>9052108.1699999999</v>
      </c>
      <c r="W68" s="326">
        <v>9052108.1699999999</v>
      </c>
      <c r="X68" s="312">
        <v>83890.67</v>
      </c>
      <c r="Y68" s="333" t="s">
        <v>1297</v>
      </c>
    </row>
    <row r="69" spans="4:34" x14ac:dyDescent="0.25">
      <c r="D69" s="327"/>
      <c r="H69" s="327">
        <v>17251.009999999998</v>
      </c>
      <c r="T69" s="351" t="s">
        <v>1293</v>
      </c>
      <c r="V69" s="57">
        <v>17257.009999999998</v>
      </c>
      <c r="W69" s="326">
        <v>17257.009999999998</v>
      </c>
      <c r="X69" s="312">
        <v>34113.5</v>
      </c>
      <c r="Y69" s="334" t="s">
        <v>1298</v>
      </c>
      <c r="AB69" s="311"/>
      <c r="AG69" s="311"/>
    </row>
    <row r="70" spans="4:34" ht="15.75" x14ac:dyDescent="0.4">
      <c r="D70" s="327"/>
      <c r="H70" s="327">
        <v>7372</v>
      </c>
      <c r="T70" s="351" t="s">
        <v>1294</v>
      </c>
      <c r="V70" s="57">
        <v>7372</v>
      </c>
      <c r="W70" s="328">
        <v>7372</v>
      </c>
      <c r="X70" s="332">
        <v>67078</v>
      </c>
      <c r="Y70" s="333" t="s">
        <v>1299</v>
      </c>
      <c r="AB70" s="311"/>
      <c r="AG70" s="311"/>
    </row>
    <row r="71" spans="4:34" x14ac:dyDescent="0.25">
      <c r="T71" s="351"/>
      <c r="V71" s="57">
        <f>SUM(V68:V70)</f>
        <v>9076737.1799999997</v>
      </c>
      <c r="W71" s="329">
        <f>SUM(W68:W70)</f>
        <v>9076737.1799999997</v>
      </c>
      <c r="X71" s="335">
        <f>X62+X66+X67+X68+X69+X70</f>
        <v>9262084.5</v>
      </c>
      <c r="AB71" s="311"/>
      <c r="AG71" s="311"/>
    </row>
    <row r="72" spans="4:34" ht="14.25" x14ac:dyDescent="0.3">
      <c r="R72" s="317"/>
      <c r="S72" s="317"/>
      <c r="T72" s="317" t="s">
        <v>1326</v>
      </c>
      <c r="V72" s="57">
        <v>9076737.1799999997</v>
      </c>
      <c r="W72" s="330">
        <v>9076737.1799999997</v>
      </c>
      <c r="X72" s="330">
        <v>6697045.4000000004</v>
      </c>
      <c r="AB72" s="311"/>
      <c r="AG72" s="311"/>
    </row>
    <row r="73" spans="4:34" x14ac:dyDescent="0.25">
      <c r="V73" s="57">
        <f>V71-V72</f>
        <v>0</v>
      </c>
      <c r="W73" s="331">
        <f>W71-W72</f>
        <v>0</v>
      </c>
      <c r="X73" s="331">
        <f>X71-X72</f>
        <v>2565039.0999999996</v>
      </c>
      <c r="AB73" s="311"/>
      <c r="AG73" s="311"/>
    </row>
    <row r="74" spans="4:34" x14ac:dyDescent="0.25">
      <c r="AB74" s="311"/>
      <c r="AG74" s="311"/>
    </row>
    <row r="75" spans="4:34" x14ac:dyDescent="0.25">
      <c r="AB75" s="311"/>
      <c r="AG75" s="311"/>
    </row>
    <row r="76" spans="4:34" x14ac:dyDescent="0.25">
      <c r="AB76" s="311"/>
      <c r="AG76" s="311"/>
    </row>
    <row r="77" spans="4:34" x14ac:dyDescent="0.25">
      <c r="AB77" s="311"/>
      <c r="AG77" s="311"/>
    </row>
    <row r="78" spans="4:34" x14ac:dyDescent="0.25">
      <c r="AB78" s="311"/>
      <c r="AG78" s="311"/>
    </row>
    <row r="125" spans="4:10" x14ac:dyDescent="0.25">
      <c r="D125" s="57" t="s">
        <v>1511</v>
      </c>
      <c r="E125" s="27">
        <v>30.35</v>
      </c>
      <c r="F125" s="27">
        <v>25</v>
      </c>
      <c r="H125" s="57" t="s">
        <v>1511</v>
      </c>
      <c r="I125" s="27">
        <v>30.35</v>
      </c>
      <c r="J125" s="27">
        <v>25</v>
      </c>
    </row>
  </sheetData>
  <sheetProtection password="CC2B" sheet="1" objects="1" scenarios="1"/>
  <mergeCells count="10">
    <mergeCell ref="D2:G2"/>
    <mergeCell ref="AO2:AQ2"/>
    <mergeCell ref="AG2:AI2"/>
    <mergeCell ref="B2:C2"/>
    <mergeCell ref="H2:K2"/>
    <mergeCell ref="AK2:AM2"/>
    <mergeCell ref="L2:O2"/>
    <mergeCell ref="Q2:T2"/>
    <mergeCell ref="W2:Z2"/>
    <mergeCell ref="AB2:AD2"/>
  </mergeCells>
  <printOptions horizontalCentered="1"/>
  <pageMargins left="0.75" right="0.75" top="1" bottom="1" header="0.5" footer="0.5"/>
  <pageSetup paperSize="5" scale="64" orientation="portrait" copies="15" r:id="rId1"/>
  <headerFooter alignWithMargins="0">
    <oddHeader>&amp;C&amp;"-,Bold"Proposed Budget &amp; Analysis Report for FY20</oddHeader>
    <oddFooter>&amp;C&amp;D&amp;T</oddFooter>
  </headerFooter>
  <rowBreaks count="1" manualBreakCount="1">
    <brk id="35" max="16383" man="1"/>
  </rowBreaks>
  <ignoredErrors>
    <ignoredError sqref="AI64" formula="1"/>
  </ignoredError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42"/>
  <sheetViews>
    <sheetView zoomScaleNormal="100" workbookViewId="0">
      <selection activeCell="C31" sqref="C31"/>
    </sheetView>
  </sheetViews>
  <sheetFormatPr defaultRowHeight="15" x14ac:dyDescent="0.25"/>
  <cols>
    <col min="1" max="1" width="30.7109375" customWidth="1"/>
    <col min="2" max="2" width="13.28515625" bestFit="1" customWidth="1"/>
    <col min="3" max="3" width="12.140625" bestFit="1" customWidth="1"/>
    <col min="4" max="4" width="13.28515625" bestFit="1" customWidth="1"/>
    <col min="5" max="5" width="9.28515625" customWidth="1"/>
    <col min="6" max="6" width="11.42578125" bestFit="1" customWidth="1"/>
    <col min="7" max="7" width="14.85546875" customWidth="1"/>
    <col min="8" max="8" width="3.140625" customWidth="1"/>
    <col min="9" max="9" width="13.140625" bestFit="1" customWidth="1"/>
    <col min="10" max="10" width="2.7109375" customWidth="1"/>
    <col min="11" max="11" width="13.140625" bestFit="1" customWidth="1"/>
    <col min="12" max="12" width="11.42578125" bestFit="1" customWidth="1"/>
  </cols>
  <sheetData>
    <row r="1" spans="1:24" x14ac:dyDescent="0.25">
      <c r="A1" s="111" t="s">
        <v>106</v>
      </c>
      <c r="B1" s="78"/>
      <c r="C1" s="78"/>
      <c r="D1" s="78"/>
      <c r="E1" s="78"/>
      <c r="F1" s="78"/>
      <c r="G1" s="78"/>
      <c r="H1" s="78"/>
      <c r="I1" s="78"/>
      <c r="J1" s="78"/>
      <c r="K1" s="78"/>
      <c r="L1" s="78"/>
      <c r="X1" s="77" t="s">
        <v>220</v>
      </c>
    </row>
    <row r="2" spans="1:24" x14ac:dyDescent="0.25">
      <c r="A2" s="111" t="s">
        <v>2009</v>
      </c>
      <c r="B2" s="78"/>
      <c r="C2" s="78"/>
      <c r="D2" s="78"/>
      <c r="E2" s="78"/>
      <c r="F2" s="566" t="s">
        <v>2115</v>
      </c>
      <c r="G2" s="78"/>
      <c r="H2" s="78"/>
      <c r="I2" s="78"/>
      <c r="J2" s="78"/>
      <c r="K2" s="78"/>
      <c r="L2" s="78"/>
    </row>
    <row r="3" spans="1:24" s="171" customFormat="1" ht="39" x14ac:dyDescent="0.25">
      <c r="A3" s="111"/>
      <c r="B3" s="124" t="s">
        <v>26</v>
      </c>
      <c r="C3" s="410" t="s">
        <v>907</v>
      </c>
      <c r="D3" s="124" t="s">
        <v>210</v>
      </c>
      <c r="E3" s="177" t="s">
        <v>1193</v>
      </c>
      <c r="F3" s="177" t="s">
        <v>211</v>
      </c>
      <c r="G3" s="428" t="s">
        <v>1510</v>
      </c>
      <c r="H3" s="111"/>
      <c r="I3" s="177" t="s">
        <v>212</v>
      </c>
      <c r="J3" s="111"/>
      <c r="K3" s="177" t="s">
        <v>213</v>
      </c>
      <c r="L3" s="177" t="s">
        <v>214</v>
      </c>
    </row>
    <row r="4" spans="1:24" x14ac:dyDescent="0.25">
      <c r="A4" s="78" t="s">
        <v>7</v>
      </c>
      <c r="B4" s="79">
        <f>'122-Selectmen'!AO15</f>
        <v>223012.66389999999</v>
      </c>
      <c r="C4" s="427">
        <v>-3000</v>
      </c>
      <c r="D4" s="79">
        <f>B4+C4</f>
        <v>220012.66389999999</v>
      </c>
      <c r="E4" s="89">
        <f>D4/$D$31</f>
        <v>7.6755282822943374E-2</v>
      </c>
      <c r="F4" s="79">
        <v>350571</v>
      </c>
      <c r="G4" s="429">
        <f>F4*E4</f>
        <v>26908.176254522081</v>
      </c>
      <c r="H4" s="78"/>
      <c r="I4" s="79">
        <f>B4-4500</f>
        <v>218512.66389999999</v>
      </c>
      <c r="J4" s="78"/>
      <c r="K4" s="79">
        <f>I4</f>
        <v>218512.66389999999</v>
      </c>
      <c r="L4" s="78"/>
    </row>
    <row r="5" spans="1:24" x14ac:dyDescent="0.25">
      <c r="A5" s="78" t="s">
        <v>0</v>
      </c>
      <c r="B5" s="79">
        <f>'135-Town Accountant'!AO8</f>
        <v>100604.016</v>
      </c>
      <c r="C5" s="427">
        <f>'135-Town Accountant'!AO32</f>
        <v>-11655.216</v>
      </c>
      <c r="D5" s="79">
        <f t="shared" ref="D5:D30" si="0">B5+C5</f>
        <v>88948.800000000003</v>
      </c>
      <c r="E5" s="89">
        <f t="shared" ref="E5:E30" si="1">D5/$D$31</f>
        <v>3.1031351467407174E-2</v>
      </c>
      <c r="F5" s="79">
        <v>350571</v>
      </c>
      <c r="G5" s="429">
        <f t="shared" ref="G5:G30" si="2">F5*E5</f>
        <v>10878.6919152804</v>
      </c>
      <c r="H5" s="78"/>
      <c r="I5" s="79">
        <f t="shared" ref="I5:I30" si="3">B5</f>
        <v>100604.016</v>
      </c>
      <c r="J5" s="78"/>
      <c r="K5" s="79">
        <f t="shared" ref="K5:K30" si="4">I5</f>
        <v>100604.016</v>
      </c>
      <c r="L5" s="78"/>
    </row>
    <row r="6" spans="1:24" x14ac:dyDescent="0.25">
      <c r="A6" s="78" t="s">
        <v>8</v>
      </c>
      <c r="B6" s="79">
        <f>'141-Board of Assessors'!AO10</f>
        <v>106294.61188000001</v>
      </c>
      <c r="C6" s="427">
        <f>'141-Board of Assessors'!AO41</f>
        <v>-5527.4400000000005</v>
      </c>
      <c r="D6" s="79">
        <f t="shared" si="0"/>
        <v>100767.17188000001</v>
      </c>
      <c r="E6" s="89">
        <f t="shared" si="1"/>
        <v>3.5154398114251223E-2</v>
      </c>
      <c r="F6" s="79">
        <v>350571</v>
      </c>
      <c r="G6" s="429">
        <f t="shared" si="2"/>
        <v>12324.112501311165</v>
      </c>
      <c r="H6" s="78"/>
      <c r="I6" s="79">
        <f>B6-3300</f>
        <v>102994.61188000001</v>
      </c>
      <c r="J6" s="78"/>
      <c r="K6" s="79">
        <f t="shared" si="4"/>
        <v>102994.61188000001</v>
      </c>
      <c r="L6" s="78"/>
      <c r="X6" s="78" t="s">
        <v>27</v>
      </c>
    </row>
    <row r="7" spans="1:24" x14ac:dyDescent="0.25">
      <c r="A7" s="78" t="s">
        <v>2</v>
      </c>
      <c r="B7" s="79">
        <f>'145-Treasurer'!AO8</f>
        <v>108349.2432</v>
      </c>
      <c r="C7" s="427"/>
      <c r="D7" s="79">
        <f t="shared" si="0"/>
        <v>108349.2432</v>
      </c>
      <c r="E7" s="89">
        <f t="shared" si="1"/>
        <v>3.7799536890512034E-2</v>
      </c>
      <c r="F7" s="79">
        <v>350571</v>
      </c>
      <c r="G7" s="429">
        <f t="shared" si="2"/>
        <v>13251.421447243694</v>
      </c>
      <c r="H7" s="78"/>
      <c r="I7" s="79">
        <f t="shared" si="3"/>
        <v>108349.2432</v>
      </c>
      <c r="J7" s="78"/>
      <c r="K7" s="79">
        <f t="shared" si="4"/>
        <v>108349.2432</v>
      </c>
      <c r="L7" s="78"/>
    </row>
    <row r="8" spans="1:24" x14ac:dyDescent="0.25">
      <c r="A8" s="78" t="s">
        <v>3</v>
      </c>
      <c r="B8" s="79">
        <f>'146-Tax Collector'!AO8</f>
        <v>96244.010999999999</v>
      </c>
      <c r="C8" s="427"/>
      <c r="D8" s="79">
        <f t="shared" si="0"/>
        <v>96244.010999999999</v>
      </c>
      <c r="E8" s="89">
        <f t="shared" si="1"/>
        <v>3.3576413981683866E-2</v>
      </c>
      <c r="F8" s="79">
        <v>350571</v>
      </c>
      <c r="G8" s="429">
        <f t="shared" si="2"/>
        <v>11770.917025972894</v>
      </c>
      <c r="H8" s="78"/>
      <c r="I8" s="79">
        <f t="shared" si="3"/>
        <v>96244.010999999999</v>
      </c>
      <c r="J8" s="78"/>
      <c r="K8" s="79">
        <f t="shared" si="4"/>
        <v>96244.010999999999</v>
      </c>
      <c r="L8" s="78"/>
    </row>
    <row r="9" spans="1:24" x14ac:dyDescent="0.25">
      <c r="A9" s="78" t="s">
        <v>378</v>
      </c>
      <c r="B9" s="79">
        <f>'152-Human Resource Board'!AO8</f>
        <v>4959.031320000001</v>
      </c>
      <c r="C9" s="427"/>
      <c r="D9" s="79">
        <f t="shared" si="0"/>
        <v>4959.031320000001</v>
      </c>
      <c r="E9" s="89">
        <f t="shared" si="1"/>
        <v>1.7300451926141797E-3</v>
      </c>
      <c r="F9" s="79">
        <v>350571</v>
      </c>
      <c r="G9" s="429">
        <f t="shared" si="2"/>
        <v>606.50367321994565</v>
      </c>
      <c r="H9" s="78"/>
      <c r="I9" s="79">
        <f t="shared" si="3"/>
        <v>4959.031320000001</v>
      </c>
      <c r="J9" s="78"/>
      <c r="K9" s="79">
        <f t="shared" si="4"/>
        <v>4959.031320000001</v>
      </c>
      <c r="L9" s="78"/>
    </row>
    <row r="10" spans="1:24" x14ac:dyDescent="0.25">
      <c r="A10" s="78" t="s">
        <v>4</v>
      </c>
      <c r="B10" s="79">
        <f>'161-Town Clerk'!AO8</f>
        <v>52069.828860000001</v>
      </c>
      <c r="C10" s="427"/>
      <c r="D10" s="79">
        <f t="shared" si="0"/>
        <v>52069.828860000001</v>
      </c>
      <c r="E10" s="89">
        <f t="shared" si="1"/>
        <v>1.8165474522448887E-2</v>
      </c>
      <c r="F10" s="79">
        <v>350571</v>
      </c>
      <c r="G10" s="429">
        <f t="shared" si="2"/>
        <v>6368.2885688094284</v>
      </c>
      <c r="H10" s="78"/>
      <c r="I10" s="79">
        <f t="shared" si="3"/>
        <v>52069.828860000001</v>
      </c>
      <c r="J10" s="78"/>
      <c r="K10" s="79">
        <f t="shared" si="4"/>
        <v>52069.828860000001</v>
      </c>
      <c r="L10" s="78"/>
    </row>
    <row r="11" spans="1:24" x14ac:dyDescent="0.25">
      <c r="A11" s="78" t="s">
        <v>9</v>
      </c>
      <c r="B11" s="79">
        <f>'171-ConComm'!AN9</f>
        <v>44842.015400000011</v>
      </c>
      <c r="C11" s="427">
        <f>-'171-ConComm'!AN7</f>
        <v>-5000</v>
      </c>
      <c r="D11" s="79">
        <f t="shared" si="0"/>
        <v>39842.015400000011</v>
      </c>
      <c r="E11" s="89">
        <f t="shared" si="1"/>
        <v>1.3899586987651881E-2</v>
      </c>
      <c r="F11" s="79">
        <v>350571</v>
      </c>
      <c r="G11" s="429">
        <f t="shared" si="2"/>
        <v>4872.7921098481074</v>
      </c>
      <c r="H11" s="78"/>
      <c r="I11" s="79">
        <f t="shared" si="3"/>
        <v>44842.015400000011</v>
      </c>
      <c r="J11" s="78"/>
      <c r="K11" s="79">
        <v>0</v>
      </c>
      <c r="L11" s="79">
        <f>I11</f>
        <v>44842.015400000011</v>
      </c>
    </row>
    <row r="12" spans="1:24" x14ac:dyDescent="0.25">
      <c r="A12" s="78" t="s">
        <v>10</v>
      </c>
      <c r="B12" s="79">
        <f>'175-Planning Board'!AO8</f>
        <v>34713.219240000006</v>
      </c>
      <c r="C12" s="427"/>
      <c r="D12" s="79">
        <f t="shared" si="0"/>
        <v>34713.219240000006</v>
      </c>
      <c r="E12" s="89">
        <f t="shared" si="1"/>
        <v>1.2110316348299259E-2</v>
      </c>
      <c r="F12" s="79">
        <v>350571</v>
      </c>
      <c r="G12" s="429">
        <f t="shared" si="2"/>
        <v>4245.5257125396192</v>
      </c>
      <c r="H12" s="78"/>
      <c r="I12" s="79">
        <f t="shared" si="3"/>
        <v>34713.219240000006</v>
      </c>
      <c r="J12" s="78"/>
      <c r="K12" s="79">
        <f t="shared" si="4"/>
        <v>34713.219240000006</v>
      </c>
      <c r="L12" s="78"/>
    </row>
    <row r="13" spans="1:24" x14ac:dyDescent="0.25">
      <c r="A13" s="78" t="s">
        <v>11</v>
      </c>
      <c r="B13" s="79">
        <f>'176-ZBA'!AO8</f>
        <v>45154.284120000004</v>
      </c>
      <c r="C13" s="427"/>
      <c r="D13" s="79">
        <f t="shared" si="0"/>
        <v>45154.284120000004</v>
      </c>
      <c r="E13" s="89">
        <f t="shared" si="1"/>
        <v>1.5752865252672128E-2</v>
      </c>
      <c r="F13" s="79">
        <v>350571</v>
      </c>
      <c r="G13" s="429">
        <f t="shared" si="2"/>
        <v>5522.4977244945203</v>
      </c>
      <c r="H13" s="78"/>
      <c r="I13" s="79">
        <f t="shared" si="3"/>
        <v>45154.284120000004</v>
      </c>
      <c r="J13" s="78"/>
      <c r="K13" s="79">
        <f t="shared" si="4"/>
        <v>45154.284120000004</v>
      </c>
      <c r="L13" s="78"/>
    </row>
    <row r="14" spans="1:24" x14ac:dyDescent="0.25">
      <c r="A14" s="161" t="s">
        <v>933</v>
      </c>
      <c r="B14" s="79">
        <f>'179-CPC'!AO8</f>
        <v>13280.6718</v>
      </c>
      <c r="C14" s="427"/>
      <c r="D14" s="79">
        <f t="shared" si="0"/>
        <v>13280.6718</v>
      </c>
      <c r="E14" s="89">
        <f t="shared" si="1"/>
        <v>4.6331956625506251E-3</v>
      </c>
      <c r="F14" s="79">
        <v>350571</v>
      </c>
      <c r="G14" s="429">
        <f t="shared" si="2"/>
        <v>1624.2640366160351</v>
      </c>
      <c r="H14" s="78"/>
      <c r="I14" s="79">
        <f t="shared" si="3"/>
        <v>13280.6718</v>
      </c>
      <c r="J14" s="78"/>
      <c r="K14" s="79">
        <v>0</v>
      </c>
      <c r="L14" s="79">
        <f>I14</f>
        <v>13280.6718</v>
      </c>
    </row>
    <row r="15" spans="1:24" x14ac:dyDescent="0.25">
      <c r="A15" s="78" t="s">
        <v>12</v>
      </c>
      <c r="B15" s="79">
        <f>'185-Housing'!AO7</f>
        <v>7284.5100000000011</v>
      </c>
      <c r="C15" s="427"/>
      <c r="D15" s="79">
        <f t="shared" si="0"/>
        <v>7284.5100000000011</v>
      </c>
      <c r="E15" s="89">
        <f t="shared" si="1"/>
        <v>2.5413292824393611E-3</v>
      </c>
      <c r="F15" s="79">
        <v>350571</v>
      </c>
      <c r="G15" s="429">
        <f t="shared" si="2"/>
        <v>890.91634787404928</v>
      </c>
      <c r="H15" s="78"/>
      <c r="I15" s="79">
        <f t="shared" si="3"/>
        <v>7284.5100000000011</v>
      </c>
      <c r="J15" s="78"/>
      <c r="K15" s="79">
        <v>0</v>
      </c>
      <c r="L15" s="79">
        <f>I15</f>
        <v>7284.5100000000011</v>
      </c>
    </row>
    <row r="16" spans="1:24" x14ac:dyDescent="0.25">
      <c r="A16" s="566" t="s">
        <v>2117</v>
      </c>
      <c r="B16" s="79">
        <f>'192-Town Offices'!AO9</f>
        <v>105056.70732000002</v>
      </c>
      <c r="C16" s="427">
        <f>'192-Town Offices'!AO53</f>
        <v>-17970.822000000004</v>
      </c>
      <c r="D16" s="79">
        <f t="shared" si="0"/>
        <v>87085.885320000016</v>
      </c>
      <c r="E16" s="89">
        <f t="shared" si="1"/>
        <v>3.038144095496775E-2</v>
      </c>
      <c r="F16" s="79">
        <v>350571</v>
      </c>
      <c r="G16" s="429">
        <f t="shared" si="2"/>
        <v>10650.852137024</v>
      </c>
      <c r="H16" s="78"/>
      <c r="I16" s="79">
        <f t="shared" si="3"/>
        <v>105056.70732000002</v>
      </c>
      <c r="J16" s="78"/>
      <c r="K16" s="79">
        <v>0</v>
      </c>
      <c r="L16" s="78"/>
    </row>
    <row r="17" spans="1:12" x14ac:dyDescent="0.25">
      <c r="A17" s="78" t="s">
        <v>13</v>
      </c>
      <c r="B17" s="79">
        <f>'210-Police Dept'!AO21</f>
        <v>707221.99910000002</v>
      </c>
      <c r="C17" s="427">
        <f>'210-Police Dept'!AO66</f>
        <v>-105920</v>
      </c>
      <c r="D17" s="79">
        <f t="shared" si="0"/>
        <v>601301.99910000002</v>
      </c>
      <c r="E17" s="89">
        <f t="shared" si="1"/>
        <v>0.20977476561939737</v>
      </c>
      <c r="F17" s="79">
        <v>350571</v>
      </c>
      <c r="G17" s="429">
        <f t="shared" si="2"/>
        <v>73540.949357957754</v>
      </c>
      <c r="H17" s="78"/>
      <c r="I17" s="79"/>
      <c r="J17" s="78"/>
      <c r="K17" s="79">
        <f t="shared" si="4"/>
        <v>0</v>
      </c>
      <c r="L17" s="78"/>
    </row>
    <row r="18" spans="1:12" x14ac:dyDescent="0.25">
      <c r="A18" s="78" t="s">
        <v>14</v>
      </c>
      <c r="B18" s="79">
        <f>'220-Fire Dept'!AO14</f>
        <v>142475.46</v>
      </c>
      <c r="C18" s="427">
        <f>-('220-Fire Dept'!AO8+'220-Fire Dept'!AO9+'220-Fire Dept'!AO10+'220-Fire Dept'!AO11+'220-Fire Dept'!AO12)</f>
        <v>-57475.46</v>
      </c>
      <c r="D18" s="79">
        <f t="shared" si="0"/>
        <v>85000</v>
      </c>
      <c r="E18" s="89">
        <f t="shared" si="1"/>
        <v>2.9653743217779326E-2</v>
      </c>
      <c r="F18" s="79">
        <v>350571</v>
      </c>
      <c r="G18" s="429">
        <f t="shared" si="2"/>
        <v>10395.742413600115</v>
      </c>
      <c r="H18" s="78"/>
      <c r="I18" s="79"/>
      <c r="J18" s="78"/>
      <c r="K18" s="79">
        <f t="shared" si="4"/>
        <v>0</v>
      </c>
      <c r="L18" s="78"/>
    </row>
    <row r="19" spans="1:12" x14ac:dyDescent="0.25">
      <c r="A19" s="373" t="s">
        <v>560</v>
      </c>
      <c r="B19" s="373">
        <f>'230.231-Ambulance'!AO25</f>
        <v>841899.75000000012</v>
      </c>
      <c r="C19" s="373">
        <f>'230.231-Ambulance'!AO93</f>
        <v>-277292</v>
      </c>
      <c r="D19" s="373">
        <f t="shared" si="0"/>
        <v>564607.75000000012</v>
      </c>
      <c r="E19" s="374">
        <f t="shared" si="1"/>
        <v>0.19697333220315469</v>
      </c>
      <c r="F19" s="79">
        <v>350571</v>
      </c>
      <c r="G19" s="373">
        <f t="shared" si="2"/>
        <v>69053.138043792147</v>
      </c>
      <c r="H19" s="78"/>
      <c r="I19" s="79">
        <f>B19</f>
        <v>841899.75000000012</v>
      </c>
      <c r="J19" s="78"/>
      <c r="K19" s="79">
        <v>0</v>
      </c>
      <c r="L19" s="78"/>
    </row>
    <row r="20" spans="1:12" x14ac:dyDescent="0.25">
      <c r="A20" s="78" t="s">
        <v>15</v>
      </c>
      <c r="B20" s="79">
        <f>'241-Building Inspections'!AO12</f>
        <v>70639.535839999997</v>
      </c>
      <c r="C20" s="427">
        <f>'241-Building Inspections'!AO35</f>
        <v>-41000</v>
      </c>
      <c r="D20" s="79">
        <f t="shared" si="0"/>
        <v>29639.535839999997</v>
      </c>
      <c r="E20" s="89">
        <f t="shared" si="1"/>
        <v>1.034027276345326E-2</v>
      </c>
      <c r="F20" s="79">
        <v>350571</v>
      </c>
      <c r="G20" s="429">
        <f t="shared" si="2"/>
        <v>3624.9997629565728</v>
      </c>
      <c r="H20" s="78"/>
      <c r="I20" s="79">
        <f t="shared" si="3"/>
        <v>70639.535839999997</v>
      </c>
      <c r="J20" s="78"/>
      <c r="K20" s="79">
        <v>0</v>
      </c>
      <c r="L20" s="79">
        <f>I20</f>
        <v>70639.535839999997</v>
      </c>
    </row>
    <row r="21" spans="1:12" x14ac:dyDescent="0.25">
      <c r="A21" s="78" t="s">
        <v>16</v>
      </c>
      <c r="B21" s="79">
        <f>'291-Emergency Mgt'!AO8</f>
        <v>3030</v>
      </c>
      <c r="C21" s="427"/>
      <c r="D21" s="79">
        <f t="shared" si="0"/>
        <v>3030</v>
      </c>
      <c r="E21" s="89">
        <f t="shared" si="1"/>
        <v>1.057068728822016E-3</v>
      </c>
      <c r="F21" s="79">
        <v>350571</v>
      </c>
      <c r="G21" s="429">
        <f t="shared" si="2"/>
        <v>370.57764133186294</v>
      </c>
      <c r="H21" s="78"/>
      <c r="I21" s="79">
        <f t="shared" si="3"/>
        <v>3030</v>
      </c>
      <c r="J21" s="78"/>
      <c r="K21" s="79">
        <f t="shared" si="4"/>
        <v>3030</v>
      </c>
      <c r="L21" s="78"/>
    </row>
    <row r="22" spans="1:12" x14ac:dyDescent="0.25">
      <c r="A22" s="211" t="s">
        <v>1105</v>
      </c>
      <c r="B22" s="79">
        <f>'292-ACO'!AO9</f>
        <v>17099.5</v>
      </c>
      <c r="C22" s="427">
        <v>-2000</v>
      </c>
      <c r="D22" s="79">
        <f t="shared" si="0"/>
        <v>15099.5</v>
      </c>
      <c r="E22" s="89">
        <f t="shared" si="1"/>
        <v>5.2677258319630462E-3</v>
      </c>
      <c r="F22" s="79">
        <v>350571</v>
      </c>
      <c r="G22" s="429">
        <f t="shared" si="2"/>
        <v>1846.7119126371172</v>
      </c>
      <c r="H22" s="78"/>
      <c r="I22" s="79">
        <f t="shared" si="3"/>
        <v>17099.5</v>
      </c>
      <c r="J22" s="78"/>
      <c r="K22" s="79">
        <v>0</v>
      </c>
      <c r="L22" s="79">
        <f>I22</f>
        <v>17099.5</v>
      </c>
    </row>
    <row r="23" spans="1:12" x14ac:dyDescent="0.25">
      <c r="A23" s="78" t="s">
        <v>17</v>
      </c>
      <c r="B23" s="79">
        <f>'295-Harbor'!AO11</f>
        <v>135679.19999999998</v>
      </c>
      <c r="C23" s="427">
        <f>'295-Harbor'!AO57</f>
        <v>-60881.82</v>
      </c>
      <c r="D23" s="79">
        <f t="shared" si="0"/>
        <v>74797.379999999976</v>
      </c>
      <c r="E23" s="89">
        <f t="shared" si="1"/>
        <v>2.6094379998619556E-2</v>
      </c>
      <c r="F23" s="79">
        <v>350571</v>
      </c>
      <c r="G23" s="429">
        <f t="shared" si="2"/>
        <v>9147.9328904960566</v>
      </c>
      <c r="H23" s="78"/>
      <c r="I23" s="79">
        <f t="shared" si="3"/>
        <v>135679.19999999998</v>
      </c>
      <c r="J23" s="78"/>
      <c r="K23" s="79">
        <v>0</v>
      </c>
      <c r="L23" s="78"/>
    </row>
    <row r="24" spans="1:12" x14ac:dyDescent="0.25">
      <c r="A24" s="78" t="s">
        <v>19</v>
      </c>
      <c r="B24" s="79">
        <f>'299-Shellfish'!AO9</f>
        <v>124131.8088</v>
      </c>
      <c r="C24" s="427"/>
      <c r="D24" s="79">
        <f t="shared" si="0"/>
        <v>124131.8088</v>
      </c>
      <c r="E24" s="89">
        <f t="shared" si="1"/>
        <v>4.3305562156631533E-2</v>
      </c>
      <c r="F24" s="79">
        <v>350571</v>
      </c>
      <c r="G24" s="429">
        <f t="shared" si="2"/>
        <v>15181.674230812474</v>
      </c>
      <c r="H24" s="78"/>
      <c r="I24" s="79">
        <f t="shared" si="3"/>
        <v>124131.8088</v>
      </c>
      <c r="J24" s="78"/>
      <c r="K24" s="79">
        <v>0</v>
      </c>
      <c r="L24" s="79">
        <f>I24</f>
        <v>124131.8088</v>
      </c>
    </row>
    <row r="25" spans="1:12" x14ac:dyDescent="0.25">
      <c r="A25" s="78" t="s">
        <v>5</v>
      </c>
      <c r="B25" s="79">
        <f>'422-Highway'!AO10</f>
        <v>124355.564</v>
      </c>
      <c r="C25" s="427">
        <f>'422-Highway'!AO55</f>
        <v>-30050</v>
      </c>
      <c r="D25" s="79">
        <f t="shared" si="0"/>
        <v>94305.563999999998</v>
      </c>
      <c r="E25" s="89">
        <f t="shared" si="1"/>
        <v>3.2900152692515928E-2</v>
      </c>
      <c r="F25" s="79">
        <v>350571</v>
      </c>
      <c r="G25" s="429">
        <f t="shared" si="2"/>
        <v>11533.839429568001</v>
      </c>
      <c r="H25" s="78"/>
      <c r="I25" s="79">
        <f t="shared" si="3"/>
        <v>124355.564</v>
      </c>
      <c r="J25" s="78"/>
      <c r="K25" s="79">
        <v>0</v>
      </c>
      <c r="L25" s="78"/>
    </row>
    <row r="26" spans="1:12" x14ac:dyDescent="0.25">
      <c r="A26" s="78" t="s">
        <v>721</v>
      </c>
      <c r="B26" s="79">
        <f>'491-Cemetery Comm'!AO10</f>
        <v>12757.151320000001</v>
      </c>
      <c r="C26" s="427">
        <f>-'491-Cemetery Comm'!AO9</f>
        <v>-250</v>
      </c>
      <c r="D26" s="79">
        <f t="shared" si="0"/>
        <v>12507.151320000001</v>
      </c>
      <c r="E26" s="89">
        <f t="shared" si="1"/>
        <v>4.3633394544610564E-3</v>
      </c>
      <c r="F26" s="79">
        <v>350571</v>
      </c>
      <c r="G26" s="429">
        <f t="shared" si="2"/>
        <v>1529.6602758898671</v>
      </c>
      <c r="H26" s="78"/>
      <c r="I26" s="79">
        <f t="shared" si="3"/>
        <v>12757.151320000001</v>
      </c>
      <c r="J26" s="78"/>
      <c r="K26" s="79">
        <v>0</v>
      </c>
      <c r="L26" s="78"/>
    </row>
    <row r="27" spans="1:12" x14ac:dyDescent="0.25">
      <c r="A27" s="78" t="s">
        <v>22</v>
      </c>
      <c r="B27" s="79">
        <f>'510-Board of Health'!AO9</f>
        <v>69461.294099999999</v>
      </c>
      <c r="C27" s="427">
        <f>-'510-Board of Health'!AO8</f>
        <v>-1500</v>
      </c>
      <c r="D27" s="79">
        <f t="shared" si="0"/>
        <v>67961.294099999999</v>
      </c>
      <c r="E27" s="89">
        <f t="shared" si="1"/>
        <v>2.3709491341051544E-2</v>
      </c>
      <c r="F27" s="79">
        <v>350571</v>
      </c>
      <c r="G27" s="429">
        <f t="shared" si="2"/>
        <v>8311.8600889237805</v>
      </c>
      <c r="H27" s="78"/>
      <c r="I27" s="79">
        <f t="shared" si="3"/>
        <v>69461.294099999999</v>
      </c>
      <c r="J27" s="78"/>
      <c r="K27" s="79">
        <v>0</v>
      </c>
      <c r="L27" s="79">
        <f>I27</f>
        <v>69461.294099999999</v>
      </c>
    </row>
    <row r="28" spans="1:12" x14ac:dyDescent="0.25">
      <c r="A28" s="78" t="s">
        <v>23</v>
      </c>
      <c r="B28" s="79">
        <f>'610-Library'!AO12</f>
        <v>315738.22698000004</v>
      </c>
      <c r="C28" s="427">
        <f>-'610-Library'!AO11</f>
        <v>-56090</v>
      </c>
      <c r="D28" s="79">
        <f t="shared" si="0"/>
        <v>259648.22698000004</v>
      </c>
      <c r="E28" s="89">
        <f t="shared" si="1"/>
        <v>9.0582845291960035E-2</v>
      </c>
      <c r="F28" s="79">
        <v>350571</v>
      </c>
      <c r="G28" s="429">
        <f t="shared" si="2"/>
        <v>31755.718656847723</v>
      </c>
      <c r="H28" s="78"/>
      <c r="I28" s="79">
        <f t="shared" si="3"/>
        <v>315738.22698000004</v>
      </c>
      <c r="J28" s="78"/>
      <c r="K28" s="79">
        <f t="shared" si="4"/>
        <v>315738.22698000004</v>
      </c>
      <c r="L28" s="78"/>
    </row>
    <row r="29" spans="1:12" x14ac:dyDescent="0.25">
      <c r="A29" s="78" t="s">
        <v>784</v>
      </c>
      <c r="B29" s="79">
        <f>'630-Beach'!AO14</f>
        <v>210177.01999999996</v>
      </c>
      <c r="C29" s="427">
        <f>'630-Beach'!AO58</f>
        <v>-175829.41999999995</v>
      </c>
      <c r="D29" s="79">
        <f t="shared" si="0"/>
        <v>34347.600000000006</v>
      </c>
      <c r="E29" s="89">
        <f t="shared" si="1"/>
        <v>1.1982763653494086E-2</v>
      </c>
      <c r="F29" s="79">
        <v>350571</v>
      </c>
      <c r="G29" s="429">
        <f t="shared" si="2"/>
        <v>4200.8094367690755</v>
      </c>
      <c r="H29" s="78"/>
      <c r="I29" s="79">
        <f t="shared" si="3"/>
        <v>210177.01999999996</v>
      </c>
      <c r="J29" s="78"/>
      <c r="K29" s="79">
        <v>0</v>
      </c>
      <c r="L29" s="78"/>
    </row>
    <row r="30" spans="1:12" ht="17.25" x14ac:dyDescent="0.4">
      <c r="A30" s="78" t="s">
        <v>24</v>
      </c>
      <c r="B30" s="92">
        <f>'691-Historical Comm'!AO8</f>
        <v>1328.06718</v>
      </c>
      <c r="C30" s="79"/>
      <c r="D30" s="92">
        <f t="shared" si="0"/>
        <v>1328.06718</v>
      </c>
      <c r="E30" s="89">
        <f t="shared" si="1"/>
        <v>4.6331956625506255E-4</v>
      </c>
      <c r="F30" s="79">
        <v>350571</v>
      </c>
      <c r="G30" s="430">
        <f t="shared" si="2"/>
        <v>162.42640366160353</v>
      </c>
      <c r="H30" s="78"/>
      <c r="I30" s="92">
        <f t="shared" si="3"/>
        <v>1328.06718</v>
      </c>
      <c r="J30" s="78"/>
      <c r="K30" s="79">
        <f t="shared" si="4"/>
        <v>1328.06718</v>
      </c>
      <c r="L30" s="78"/>
    </row>
    <row r="31" spans="1:12" x14ac:dyDescent="0.25">
      <c r="A31" s="78"/>
      <c r="B31" s="139">
        <f>SUM(B4:B30)</f>
        <v>3717859.3913599998</v>
      </c>
      <c r="C31" s="139">
        <f>SUM(C4:C30)</f>
        <v>-851442.17799999984</v>
      </c>
      <c r="D31" s="79">
        <f>SUM(D4:D30)</f>
        <v>2866417.2133599995</v>
      </c>
      <c r="E31" s="78"/>
      <c r="F31" s="78"/>
      <c r="G31" s="411">
        <f>SUM(G4:G30)</f>
        <v>350571</v>
      </c>
      <c r="H31" s="78"/>
      <c r="I31" s="79">
        <f>SUM(I4:I30)</f>
        <v>2860361.9322600001</v>
      </c>
      <c r="J31" s="78"/>
      <c r="K31" s="79">
        <f>SUM(K4:K30)</f>
        <v>1083697.20368</v>
      </c>
      <c r="L31" s="79">
        <f>SUM(L4:L30)</f>
        <v>346739.33594000002</v>
      </c>
    </row>
    <row r="32" spans="1:12" x14ac:dyDescent="0.25">
      <c r="A32" s="271" t="s">
        <v>1106</v>
      </c>
      <c r="B32" s="373">
        <f>-B19</f>
        <v>-841899.75000000012</v>
      </c>
      <c r="D32" s="373">
        <f>-D19</f>
        <v>-564607.75000000012</v>
      </c>
      <c r="G32" s="373">
        <f>-G19</f>
        <v>-69053.138043792147</v>
      </c>
    </row>
    <row r="33" spans="1:7" x14ac:dyDescent="0.25">
      <c r="A33" s="272" t="s">
        <v>1107</v>
      </c>
      <c r="B33" s="172">
        <f>SUM(B31:B32)</f>
        <v>2875959.6413599998</v>
      </c>
      <c r="D33" s="172">
        <f>SUM(D31:D32)</f>
        <v>2301809.4633599995</v>
      </c>
      <c r="G33" s="172">
        <f>SUM(G31:G32)</f>
        <v>281517.86195620784</v>
      </c>
    </row>
    <row r="34" spans="1:7" x14ac:dyDescent="0.25">
      <c r="A34" s="566" t="s">
        <v>2116</v>
      </c>
      <c r="C34" s="77"/>
    </row>
    <row r="35" spans="1:7" x14ac:dyDescent="0.25">
      <c r="B35" s="93"/>
      <c r="C35" s="243"/>
      <c r="D35" s="93"/>
    </row>
    <row r="36" spans="1:7" x14ac:dyDescent="0.25">
      <c r="B36" s="93"/>
      <c r="C36" s="210"/>
      <c r="D36" s="93"/>
    </row>
    <row r="37" spans="1:7" x14ac:dyDescent="0.25">
      <c r="B37" s="93"/>
      <c r="C37" s="210"/>
      <c r="D37" s="93"/>
    </row>
    <row r="39" spans="1:7" x14ac:dyDescent="0.25">
      <c r="C39" s="77" t="s">
        <v>221</v>
      </c>
    </row>
    <row r="40" spans="1:7" x14ac:dyDescent="0.25">
      <c r="B40" s="93">
        <f>-B32*0.0145</f>
        <v>12207.546375000002</v>
      </c>
      <c r="C40" s="243" t="s">
        <v>313</v>
      </c>
      <c r="D40" s="93"/>
    </row>
    <row r="41" spans="1:7" x14ac:dyDescent="0.25">
      <c r="B41" s="93">
        <f>-B32*0.0009</f>
        <v>757.70977500000004</v>
      </c>
      <c r="C41" s="210" t="s">
        <v>314</v>
      </c>
      <c r="D41" s="93"/>
    </row>
    <row r="42" spans="1:7" x14ac:dyDescent="0.25">
      <c r="B42" s="93">
        <f>-B32*0.001</f>
        <v>841.89975000000015</v>
      </c>
      <c r="C42" s="210" t="s">
        <v>315</v>
      </c>
      <c r="D42" s="93"/>
    </row>
  </sheetData>
  <pageMargins left="0.75" right="0.75" top="1" bottom="1" header="0.5" footer="0.5"/>
  <pageSetup scale="86" orientation="landscape" r:id="rId1"/>
  <headerFooter alignWithMargins="0">
    <oddHeader>&amp;C&amp;"-,Bold"Proposed Budget &amp; Analysis Report for FY20</oddHeader>
    <oddFooter>&amp;C&amp;F&amp;R&amp;A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QH81"/>
  <sheetViews>
    <sheetView zoomScaleNormal="100" workbookViewId="0">
      <selection activeCell="C31" sqref="C31"/>
    </sheetView>
  </sheetViews>
  <sheetFormatPr defaultRowHeight="15" x14ac:dyDescent="0.25"/>
  <cols>
    <col min="1" max="1" width="5.28515625" customWidth="1"/>
    <col min="2" max="2" width="20.5703125" bestFit="1" customWidth="1"/>
    <col min="3" max="3" width="8.42578125" customWidth="1"/>
    <col min="4" max="4" width="10.5703125" bestFit="1" customWidth="1"/>
    <col min="5" max="5" width="4.42578125" bestFit="1" customWidth="1"/>
    <col min="6" max="6" width="10.5703125" bestFit="1" customWidth="1"/>
    <col min="7" max="7" width="5.42578125" bestFit="1" customWidth="1"/>
    <col min="8" max="8" width="10.85546875" customWidth="1"/>
    <col min="9" max="9" width="2.28515625" customWidth="1"/>
    <col min="10" max="10" width="11.5703125" bestFit="1" customWidth="1"/>
    <col min="11" max="11" width="11.5703125" style="171" bestFit="1" customWidth="1"/>
    <col min="12" max="13" width="16.5703125" style="256" customWidth="1"/>
    <col min="14" max="14" width="14.85546875" style="256" customWidth="1"/>
    <col min="15" max="450" width="9.140625" style="256"/>
  </cols>
  <sheetData>
    <row r="1" spans="1:450" x14ac:dyDescent="0.25">
      <c r="B1" s="338"/>
      <c r="C1" s="338"/>
      <c r="D1" s="338"/>
      <c r="E1" s="338"/>
      <c r="F1" s="336" t="s">
        <v>195</v>
      </c>
      <c r="G1" s="338"/>
      <c r="H1" s="338"/>
      <c r="I1" s="338"/>
      <c r="J1" s="338"/>
      <c r="K1" s="338"/>
      <c r="L1" s="338"/>
    </row>
    <row r="2" spans="1:450" ht="12.75" customHeight="1" x14ac:dyDescent="0.25">
      <c r="B2" s="338"/>
      <c r="C2" s="338"/>
      <c r="D2" s="338"/>
      <c r="E2" s="338"/>
      <c r="F2" s="336" t="s">
        <v>196</v>
      </c>
      <c r="G2" s="338"/>
      <c r="H2" s="338"/>
      <c r="I2" s="338"/>
      <c r="J2" s="338"/>
      <c r="K2" s="338"/>
      <c r="L2" s="338"/>
    </row>
    <row r="3" spans="1:450" x14ac:dyDescent="0.25">
      <c r="A3" s="831" t="s">
        <v>2162</v>
      </c>
      <c r="B3" s="831"/>
      <c r="C3" s="831"/>
      <c r="D3" s="831"/>
      <c r="E3" s="831"/>
      <c r="F3" s="831"/>
      <c r="G3" s="831"/>
      <c r="H3" s="831"/>
      <c r="I3" s="831"/>
      <c r="J3" s="831"/>
      <c r="K3" s="831"/>
      <c r="L3" s="831"/>
    </row>
    <row r="4" spans="1:450" ht="13.5" customHeight="1" x14ac:dyDescent="0.3">
      <c r="A4" s="83"/>
      <c r="B4" s="83"/>
      <c r="C4" s="84"/>
      <c r="D4" s="85"/>
      <c r="E4" s="83"/>
      <c r="F4" s="180" t="s">
        <v>929</v>
      </c>
      <c r="G4" s="83"/>
      <c r="I4" s="82"/>
      <c r="L4" s="256" t="s">
        <v>1467</v>
      </c>
    </row>
    <row r="5" spans="1:450" s="77" customFormat="1" ht="13.5" customHeight="1" x14ac:dyDescent="0.3">
      <c r="A5" s="178"/>
      <c r="B5" s="178"/>
      <c r="C5" s="84"/>
      <c r="D5" s="85"/>
      <c r="E5" s="178"/>
      <c r="F5" s="180" t="s">
        <v>931</v>
      </c>
      <c r="G5" s="178"/>
      <c r="H5" s="179" t="s">
        <v>930</v>
      </c>
      <c r="I5" s="82"/>
      <c r="K5" s="171"/>
      <c r="L5" s="256" t="s">
        <v>1332</v>
      </c>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c r="EB5" s="256"/>
      <c r="EC5" s="256"/>
      <c r="ED5" s="256"/>
      <c r="EE5" s="256"/>
      <c r="EF5" s="256"/>
      <c r="EG5" s="256"/>
      <c r="EH5" s="256"/>
      <c r="EI5" s="256"/>
      <c r="EJ5" s="256"/>
      <c r="EK5" s="256"/>
      <c r="EL5" s="256"/>
      <c r="EM5" s="256"/>
      <c r="EN5" s="256"/>
      <c r="EO5" s="256"/>
      <c r="EP5" s="256"/>
      <c r="EQ5" s="256"/>
      <c r="ER5" s="256"/>
      <c r="ES5" s="256"/>
      <c r="ET5" s="256"/>
      <c r="EU5" s="256"/>
      <c r="EV5" s="256"/>
      <c r="EW5" s="256"/>
      <c r="EX5" s="256"/>
      <c r="EY5" s="256"/>
      <c r="EZ5" s="256"/>
      <c r="FA5" s="256"/>
      <c r="FB5" s="256"/>
      <c r="FC5" s="256"/>
      <c r="FD5" s="256"/>
      <c r="FE5" s="256"/>
      <c r="FF5" s="256"/>
      <c r="FG5" s="256"/>
      <c r="FH5" s="256"/>
      <c r="FI5" s="256"/>
      <c r="FJ5" s="256"/>
      <c r="FK5" s="256"/>
      <c r="FL5" s="256"/>
      <c r="FM5" s="256"/>
      <c r="FN5" s="256"/>
      <c r="FO5" s="256"/>
      <c r="FP5" s="256"/>
      <c r="FQ5" s="256"/>
      <c r="FR5" s="256"/>
      <c r="FS5" s="256"/>
      <c r="FT5" s="256"/>
      <c r="FU5" s="256"/>
      <c r="FV5" s="256"/>
      <c r="FW5" s="256"/>
      <c r="FX5" s="256"/>
      <c r="FY5" s="256"/>
      <c r="FZ5" s="256"/>
      <c r="GA5" s="256"/>
      <c r="GB5" s="256"/>
      <c r="GC5" s="256"/>
      <c r="GD5" s="256"/>
      <c r="GE5" s="256"/>
      <c r="GF5" s="256"/>
      <c r="GG5" s="256"/>
      <c r="GH5" s="256"/>
      <c r="GI5" s="256"/>
      <c r="GJ5" s="256"/>
      <c r="GK5" s="256"/>
      <c r="GL5" s="256"/>
      <c r="GM5" s="256"/>
      <c r="GN5" s="256"/>
      <c r="GO5" s="256"/>
      <c r="GP5" s="256"/>
      <c r="GQ5" s="256"/>
      <c r="GR5" s="256"/>
      <c r="GS5" s="256"/>
      <c r="GT5" s="256"/>
      <c r="GU5" s="256"/>
      <c r="GV5" s="256"/>
      <c r="GW5" s="256"/>
      <c r="GX5" s="256"/>
      <c r="GY5" s="256"/>
      <c r="GZ5" s="256"/>
      <c r="HA5" s="256"/>
      <c r="HB5" s="256"/>
      <c r="HC5" s="256"/>
      <c r="HD5" s="256"/>
      <c r="HE5" s="256"/>
      <c r="HF5" s="256"/>
      <c r="HG5" s="256"/>
      <c r="HH5" s="256"/>
      <c r="HI5" s="256"/>
      <c r="HJ5" s="256"/>
      <c r="HK5" s="256"/>
      <c r="HL5" s="256"/>
      <c r="HM5" s="256"/>
      <c r="HN5" s="256"/>
      <c r="HO5" s="256"/>
      <c r="HP5" s="256"/>
      <c r="HQ5" s="256"/>
      <c r="HR5" s="256"/>
      <c r="HS5" s="256"/>
      <c r="HT5" s="256"/>
      <c r="HU5" s="256"/>
      <c r="HV5" s="256"/>
      <c r="HW5" s="256"/>
      <c r="HX5" s="256"/>
      <c r="HY5" s="256"/>
      <c r="HZ5" s="256"/>
      <c r="IA5" s="256"/>
      <c r="IB5" s="256"/>
      <c r="IC5" s="256"/>
      <c r="ID5" s="256"/>
      <c r="IE5" s="256"/>
      <c r="IF5" s="256"/>
      <c r="IG5" s="256"/>
      <c r="IH5" s="256"/>
      <c r="II5" s="256"/>
      <c r="IJ5" s="256"/>
      <c r="IK5" s="256"/>
      <c r="IL5" s="256"/>
      <c r="IM5" s="256"/>
      <c r="IN5" s="256"/>
      <c r="IO5" s="256"/>
      <c r="IP5" s="256"/>
      <c r="IQ5" s="256"/>
      <c r="IR5" s="256"/>
      <c r="IS5" s="256"/>
      <c r="IT5" s="256"/>
      <c r="IU5" s="256"/>
      <c r="IV5" s="256"/>
      <c r="IW5" s="256"/>
      <c r="IX5" s="256"/>
      <c r="IY5" s="256"/>
      <c r="IZ5" s="256"/>
      <c r="JA5" s="256"/>
      <c r="JB5" s="256"/>
      <c r="JC5" s="256"/>
      <c r="JD5" s="256"/>
      <c r="JE5" s="256"/>
      <c r="JF5" s="256"/>
      <c r="JG5" s="256"/>
      <c r="JH5" s="256"/>
      <c r="JI5" s="256"/>
      <c r="JJ5" s="256"/>
      <c r="JK5" s="256"/>
      <c r="JL5" s="256"/>
      <c r="JM5" s="256"/>
      <c r="JN5" s="256"/>
      <c r="JO5" s="256"/>
      <c r="JP5" s="256"/>
      <c r="JQ5" s="256"/>
      <c r="JR5" s="256"/>
      <c r="JS5" s="256"/>
      <c r="JT5" s="256"/>
      <c r="JU5" s="256"/>
      <c r="JV5" s="256"/>
      <c r="JW5" s="256"/>
      <c r="JX5" s="256"/>
      <c r="JY5" s="256"/>
      <c r="JZ5" s="256"/>
      <c r="KA5" s="256"/>
      <c r="KB5" s="256"/>
      <c r="KC5" s="256"/>
      <c r="KD5" s="256"/>
      <c r="KE5" s="256"/>
      <c r="KF5" s="256"/>
      <c r="KG5" s="256"/>
      <c r="KH5" s="256"/>
      <c r="KI5" s="256"/>
      <c r="KJ5" s="256"/>
      <c r="KK5" s="256"/>
      <c r="KL5" s="256"/>
      <c r="KM5" s="256"/>
      <c r="KN5" s="256"/>
      <c r="KO5" s="256"/>
      <c r="KP5" s="256"/>
      <c r="KQ5" s="256"/>
      <c r="KR5" s="256"/>
      <c r="KS5" s="256"/>
      <c r="KT5" s="256"/>
      <c r="KU5" s="256"/>
      <c r="KV5" s="256"/>
      <c r="KW5" s="256"/>
      <c r="KX5" s="256"/>
      <c r="KY5" s="256"/>
      <c r="KZ5" s="256"/>
      <c r="LA5" s="256"/>
      <c r="LB5" s="256"/>
      <c r="LC5" s="256"/>
      <c r="LD5" s="256"/>
      <c r="LE5" s="256"/>
      <c r="LF5" s="256"/>
      <c r="LG5" s="256"/>
      <c r="LH5" s="256"/>
      <c r="LI5" s="256"/>
      <c r="LJ5" s="256"/>
      <c r="LK5" s="256"/>
      <c r="LL5" s="256"/>
      <c r="LM5" s="256"/>
      <c r="LN5" s="256"/>
      <c r="LO5" s="256"/>
      <c r="LP5" s="256"/>
      <c r="LQ5" s="256"/>
      <c r="LR5" s="256"/>
      <c r="LS5" s="256"/>
      <c r="LT5" s="256"/>
      <c r="LU5" s="256"/>
      <c r="LV5" s="256"/>
      <c r="LW5" s="256"/>
      <c r="LX5" s="256"/>
      <c r="LY5" s="256"/>
      <c r="LZ5" s="256"/>
      <c r="MA5" s="256"/>
      <c r="MB5" s="256"/>
      <c r="MC5" s="256"/>
      <c r="MD5" s="256"/>
      <c r="ME5" s="256"/>
      <c r="MF5" s="256"/>
      <c r="MG5" s="256"/>
      <c r="MH5" s="256"/>
      <c r="MI5" s="256"/>
      <c r="MJ5" s="256"/>
      <c r="MK5" s="256"/>
      <c r="ML5" s="256"/>
      <c r="MM5" s="256"/>
      <c r="MN5" s="256"/>
      <c r="MO5" s="256"/>
      <c r="MP5" s="256"/>
      <c r="MQ5" s="256"/>
      <c r="MR5" s="256"/>
      <c r="MS5" s="256"/>
      <c r="MT5" s="256"/>
      <c r="MU5" s="256"/>
      <c r="MV5" s="256"/>
      <c r="MW5" s="256"/>
      <c r="MX5" s="256"/>
      <c r="MY5" s="256"/>
      <c r="MZ5" s="256"/>
      <c r="NA5" s="256"/>
      <c r="NB5" s="256"/>
      <c r="NC5" s="256"/>
      <c r="ND5" s="256"/>
      <c r="NE5" s="256"/>
      <c r="NF5" s="256"/>
      <c r="NG5" s="256"/>
      <c r="NH5" s="256"/>
      <c r="NI5" s="256"/>
      <c r="NJ5" s="256"/>
      <c r="NK5" s="256"/>
      <c r="NL5" s="256"/>
      <c r="NM5" s="256"/>
      <c r="NN5" s="256"/>
      <c r="NO5" s="256"/>
      <c r="NP5" s="256"/>
      <c r="NQ5" s="256"/>
      <c r="NR5" s="256"/>
      <c r="NS5" s="256"/>
      <c r="NT5" s="256"/>
      <c r="NU5" s="256"/>
      <c r="NV5" s="256"/>
      <c r="NW5" s="256"/>
      <c r="NX5" s="256"/>
      <c r="NY5" s="256"/>
      <c r="NZ5" s="256"/>
      <c r="OA5" s="256"/>
      <c r="OB5" s="256"/>
      <c r="OC5" s="256"/>
      <c r="OD5" s="256"/>
      <c r="OE5" s="256"/>
      <c r="OF5" s="256"/>
      <c r="OG5" s="256"/>
      <c r="OH5" s="256"/>
      <c r="OI5" s="256"/>
      <c r="OJ5" s="256"/>
      <c r="OK5" s="256"/>
      <c r="OL5" s="256"/>
      <c r="OM5" s="256"/>
      <c r="ON5" s="256"/>
      <c r="OO5" s="256"/>
      <c r="OP5" s="256"/>
      <c r="OQ5" s="256"/>
      <c r="OR5" s="256"/>
      <c r="OS5" s="256"/>
      <c r="OT5" s="256"/>
      <c r="OU5" s="256"/>
      <c r="OV5" s="256"/>
      <c r="OW5" s="256"/>
      <c r="OX5" s="256"/>
      <c r="OY5" s="256"/>
      <c r="OZ5" s="256"/>
      <c r="PA5" s="256"/>
      <c r="PB5" s="256"/>
      <c r="PC5" s="256"/>
      <c r="PD5" s="256"/>
      <c r="PE5" s="256"/>
      <c r="PF5" s="256"/>
      <c r="PG5" s="256"/>
      <c r="PH5" s="256"/>
      <c r="PI5" s="256"/>
      <c r="PJ5" s="256"/>
      <c r="PK5" s="256"/>
      <c r="PL5" s="256"/>
      <c r="PM5" s="256"/>
      <c r="PN5" s="256"/>
      <c r="PO5" s="256"/>
      <c r="PP5" s="256"/>
      <c r="PQ5" s="256"/>
      <c r="PR5" s="256"/>
      <c r="PS5" s="256"/>
      <c r="PT5" s="256"/>
      <c r="PU5" s="256"/>
      <c r="PV5" s="256"/>
      <c r="PW5" s="256"/>
      <c r="PX5" s="256"/>
      <c r="PY5" s="256"/>
      <c r="PZ5" s="256"/>
      <c r="QA5" s="256"/>
      <c r="QB5" s="256"/>
      <c r="QC5" s="256"/>
      <c r="QD5" s="256"/>
      <c r="QE5" s="256"/>
      <c r="QF5" s="256"/>
      <c r="QG5" s="256"/>
      <c r="QH5" s="256"/>
    </row>
    <row r="6" spans="1:450" x14ac:dyDescent="0.25">
      <c r="A6" s="94"/>
      <c r="B6" s="95" t="s">
        <v>6</v>
      </c>
      <c r="C6" s="95"/>
      <c r="D6" s="96" t="s">
        <v>1186</v>
      </c>
      <c r="E6" s="97"/>
      <c r="F6" s="98" t="s">
        <v>197</v>
      </c>
      <c r="G6" s="97"/>
      <c r="H6" s="98" t="s">
        <v>198</v>
      </c>
      <c r="I6" s="82"/>
      <c r="J6" s="168" t="s">
        <v>919</v>
      </c>
      <c r="K6" s="238" t="s">
        <v>1169</v>
      </c>
      <c r="L6" s="238" t="s">
        <v>2010</v>
      </c>
    </row>
    <row r="7" spans="1:450" x14ac:dyDescent="0.25">
      <c r="A7" s="94" t="s">
        <v>199</v>
      </c>
      <c r="B7" s="94" t="s">
        <v>222</v>
      </c>
      <c r="C7" s="94" t="s">
        <v>180</v>
      </c>
      <c r="D7" s="96" t="s">
        <v>1187</v>
      </c>
      <c r="E7" s="97"/>
      <c r="F7" s="295" t="s">
        <v>1188</v>
      </c>
      <c r="G7" s="97"/>
      <c r="H7" s="98" t="s">
        <v>200</v>
      </c>
      <c r="I7" s="82"/>
      <c r="J7" s="168" t="s">
        <v>918</v>
      </c>
      <c r="K7" s="238" t="s">
        <v>1170</v>
      </c>
      <c r="L7" s="238" t="s">
        <v>1172</v>
      </c>
    </row>
    <row r="8" spans="1:450" s="77" customFormat="1" x14ac:dyDescent="0.25">
      <c r="A8" s="81" t="s">
        <v>202</v>
      </c>
      <c r="B8" s="81" t="s">
        <v>227</v>
      </c>
      <c r="C8" s="81" t="s">
        <v>257</v>
      </c>
      <c r="D8" s="87">
        <v>1121</v>
      </c>
      <c r="E8" s="85">
        <v>0.75</v>
      </c>
      <c r="F8" s="169">
        <f>D8*E8</f>
        <v>840.75</v>
      </c>
      <c r="G8" s="85">
        <v>0.25</v>
      </c>
      <c r="H8" s="86">
        <f>G8*D8</f>
        <v>280.25</v>
      </c>
      <c r="I8" s="82"/>
      <c r="J8" s="170">
        <f>F8*12</f>
        <v>10089</v>
      </c>
      <c r="K8" s="172"/>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c r="IU8" s="256"/>
      <c r="IV8" s="256"/>
      <c r="IW8" s="256"/>
      <c r="IX8" s="256"/>
      <c r="IY8" s="256"/>
      <c r="IZ8" s="256"/>
      <c r="JA8" s="256"/>
      <c r="JB8" s="256"/>
      <c r="JC8" s="256"/>
      <c r="JD8" s="256"/>
      <c r="JE8" s="256"/>
      <c r="JF8" s="256"/>
      <c r="JG8" s="256"/>
      <c r="JH8" s="256"/>
      <c r="JI8" s="256"/>
      <c r="JJ8" s="256"/>
      <c r="JK8" s="256"/>
      <c r="JL8" s="256"/>
      <c r="JM8" s="256"/>
      <c r="JN8" s="256"/>
      <c r="JO8" s="256"/>
      <c r="JP8" s="256"/>
      <c r="JQ8" s="256"/>
      <c r="JR8" s="256"/>
      <c r="JS8" s="256"/>
      <c r="JT8" s="256"/>
      <c r="JU8" s="256"/>
      <c r="JV8" s="256"/>
      <c r="JW8" s="256"/>
      <c r="JX8" s="256"/>
      <c r="JY8" s="256"/>
      <c r="JZ8" s="256"/>
      <c r="KA8" s="256"/>
      <c r="KB8" s="256"/>
      <c r="KC8" s="256"/>
      <c r="KD8" s="256"/>
      <c r="KE8" s="256"/>
      <c r="KF8" s="256"/>
      <c r="KG8" s="256"/>
      <c r="KH8" s="256"/>
      <c r="KI8" s="256"/>
      <c r="KJ8" s="256"/>
      <c r="KK8" s="256"/>
      <c r="KL8" s="256"/>
      <c r="KM8" s="256"/>
      <c r="KN8" s="256"/>
      <c r="KO8" s="256"/>
      <c r="KP8" s="256"/>
      <c r="KQ8" s="256"/>
      <c r="KR8" s="256"/>
      <c r="KS8" s="256"/>
      <c r="KT8" s="256"/>
      <c r="KU8" s="256"/>
      <c r="KV8" s="256"/>
      <c r="KW8" s="256"/>
      <c r="KX8" s="256"/>
      <c r="KY8" s="256"/>
      <c r="KZ8" s="256"/>
      <c r="LA8" s="256"/>
      <c r="LB8" s="256"/>
      <c r="LC8" s="256"/>
      <c r="LD8" s="256"/>
      <c r="LE8" s="256"/>
      <c r="LF8" s="256"/>
      <c r="LG8" s="256"/>
      <c r="LH8" s="256"/>
      <c r="LI8" s="256"/>
      <c r="LJ8" s="256"/>
      <c r="LK8" s="256"/>
      <c r="LL8" s="256"/>
      <c r="LM8" s="256"/>
      <c r="LN8" s="256"/>
      <c r="LO8" s="256"/>
      <c r="LP8" s="256"/>
      <c r="LQ8" s="256"/>
      <c r="LR8" s="256"/>
      <c r="LS8" s="256"/>
      <c r="LT8" s="256"/>
      <c r="LU8" s="256"/>
      <c r="LV8" s="256"/>
      <c r="LW8" s="256"/>
      <c r="LX8" s="256"/>
      <c r="LY8" s="256"/>
      <c r="LZ8" s="256"/>
      <c r="MA8" s="256"/>
      <c r="MB8" s="256"/>
      <c r="MC8" s="256"/>
      <c r="MD8" s="256"/>
      <c r="ME8" s="256"/>
      <c r="MF8" s="256"/>
      <c r="MG8" s="256"/>
      <c r="MH8" s="256"/>
      <c r="MI8" s="256"/>
      <c r="MJ8" s="256"/>
      <c r="MK8" s="256"/>
      <c r="ML8" s="256"/>
      <c r="MM8" s="256"/>
      <c r="MN8" s="256"/>
      <c r="MO8" s="256"/>
      <c r="MP8" s="256"/>
      <c r="MQ8" s="256"/>
      <c r="MR8" s="256"/>
      <c r="MS8" s="256"/>
      <c r="MT8" s="256"/>
      <c r="MU8" s="256"/>
      <c r="MV8" s="256"/>
      <c r="MW8" s="256"/>
      <c r="MX8" s="256"/>
      <c r="MY8" s="256"/>
      <c r="MZ8" s="256"/>
      <c r="NA8" s="256"/>
      <c r="NB8" s="256"/>
      <c r="NC8" s="256"/>
      <c r="ND8" s="256"/>
      <c r="NE8" s="256"/>
      <c r="NF8" s="256"/>
      <c r="NG8" s="256"/>
      <c r="NH8" s="256"/>
      <c r="NI8" s="256"/>
      <c r="NJ8" s="256"/>
      <c r="NK8" s="256"/>
      <c r="NL8" s="256"/>
      <c r="NM8" s="256"/>
      <c r="NN8" s="256"/>
      <c r="NO8" s="256"/>
      <c r="NP8" s="256"/>
      <c r="NQ8" s="256"/>
      <c r="NR8" s="256"/>
      <c r="NS8" s="256"/>
      <c r="NT8" s="256"/>
      <c r="NU8" s="256"/>
      <c r="NV8" s="256"/>
      <c r="NW8" s="256"/>
      <c r="NX8" s="256"/>
      <c r="NY8" s="256"/>
      <c r="NZ8" s="256"/>
      <c r="OA8" s="256"/>
      <c r="OB8" s="256"/>
      <c r="OC8" s="256"/>
      <c r="OD8" s="256"/>
      <c r="OE8" s="256"/>
      <c r="OF8" s="256"/>
      <c r="OG8" s="256"/>
      <c r="OH8" s="256"/>
      <c r="OI8" s="256"/>
      <c r="OJ8" s="256"/>
      <c r="OK8" s="256"/>
      <c r="OL8" s="256"/>
      <c r="OM8" s="256"/>
      <c r="ON8" s="256"/>
      <c r="OO8" s="256"/>
      <c r="OP8" s="256"/>
      <c r="OQ8" s="256"/>
      <c r="OR8" s="256"/>
      <c r="OS8" s="256"/>
      <c r="OT8" s="256"/>
      <c r="OU8" s="256"/>
      <c r="OV8" s="256"/>
      <c r="OW8" s="256"/>
      <c r="OX8" s="256"/>
      <c r="OY8" s="256"/>
      <c r="OZ8" s="256"/>
      <c r="PA8" s="256"/>
      <c r="PB8" s="256"/>
      <c r="PC8" s="256"/>
      <c r="PD8" s="256"/>
      <c r="PE8" s="256"/>
      <c r="PF8" s="256"/>
      <c r="PG8" s="256"/>
      <c r="PH8" s="256"/>
      <c r="PI8" s="256"/>
      <c r="PJ8" s="256"/>
      <c r="PK8" s="256"/>
      <c r="PL8" s="256"/>
      <c r="PM8" s="256"/>
      <c r="PN8" s="256"/>
      <c r="PO8" s="256"/>
      <c r="PP8" s="256"/>
      <c r="PQ8" s="256"/>
      <c r="PR8" s="256"/>
      <c r="PS8" s="256"/>
      <c r="PT8" s="256"/>
      <c r="PU8" s="256"/>
      <c r="PV8" s="256"/>
      <c r="PW8" s="256"/>
      <c r="PX8" s="256"/>
      <c r="PY8" s="256"/>
      <c r="PZ8" s="256"/>
      <c r="QA8" s="256"/>
      <c r="QB8" s="256"/>
      <c r="QC8" s="256"/>
      <c r="QD8" s="256"/>
      <c r="QE8" s="256"/>
      <c r="QF8" s="256"/>
      <c r="QG8" s="256"/>
      <c r="QH8" s="256"/>
    </row>
    <row r="9" spans="1:450" s="77" customFormat="1" x14ac:dyDescent="0.25">
      <c r="A9" s="81" t="s">
        <v>179</v>
      </c>
      <c r="B9" s="81" t="s">
        <v>231</v>
      </c>
      <c r="C9" s="81" t="s">
        <v>257</v>
      </c>
      <c r="D9" s="87">
        <v>1991</v>
      </c>
      <c r="E9" s="85">
        <v>0.75</v>
      </c>
      <c r="F9" s="169">
        <f>D9*E9</f>
        <v>1493.25</v>
      </c>
      <c r="G9" s="85">
        <v>0.25</v>
      </c>
      <c r="H9" s="86">
        <f>G9*D9</f>
        <v>497.75</v>
      </c>
      <c r="I9" s="82"/>
      <c r="J9" s="170">
        <f>F9*12</f>
        <v>17919</v>
      </c>
      <c r="K9" s="172">
        <f>SUM(J8:J9)</f>
        <v>28008</v>
      </c>
      <c r="L9" s="285">
        <f>K9</f>
        <v>28008</v>
      </c>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c r="DJ9" s="256"/>
      <c r="DK9" s="256"/>
      <c r="DL9" s="256"/>
      <c r="DM9" s="256"/>
      <c r="DN9" s="256"/>
      <c r="DO9" s="256"/>
      <c r="DP9" s="256"/>
      <c r="DQ9" s="256"/>
      <c r="DR9" s="256"/>
      <c r="DS9" s="256"/>
      <c r="DT9" s="256"/>
      <c r="DU9" s="256"/>
      <c r="DV9" s="256"/>
      <c r="DW9" s="256"/>
      <c r="DX9" s="256"/>
      <c r="DY9" s="256"/>
      <c r="DZ9" s="256"/>
      <c r="EA9" s="256"/>
      <c r="EB9" s="256"/>
      <c r="EC9" s="256"/>
      <c r="ED9" s="256"/>
      <c r="EE9" s="256"/>
      <c r="EF9" s="256"/>
      <c r="EG9" s="256"/>
      <c r="EH9" s="256"/>
      <c r="EI9" s="256"/>
      <c r="EJ9" s="256"/>
      <c r="EK9" s="256"/>
      <c r="EL9" s="256"/>
      <c r="EM9" s="256"/>
      <c r="EN9" s="256"/>
      <c r="EO9" s="256"/>
      <c r="EP9" s="256"/>
      <c r="EQ9" s="256"/>
      <c r="ER9" s="256"/>
      <c r="ES9" s="256"/>
      <c r="ET9" s="256"/>
      <c r="EU9" s="256"/>
      <c r="EV9" s="256"/>
      <c r="EW9" s="256"/>
      <c r="EX9" s="256"/>
      <c r="EY9" s="256"/>
      <c r="EZ9" s="256"/>
      <c r="FA9" s="256"/>
      <c r="FB9" s="256"/>
      <c r="FC9" s="256"/>
      <c r="FD9" s="256"/>
      <c r="FE9" s="256"/>
      <c r="FF9" s="256"/>
      <c r="FG9" s="256"/>
      <c r="FH9" s="256"/>
      <c r="FI9" s="256"/>
      <c r="FJ9" s="256"/>
      <c r="FK9" s="256"/>
      <c r="FL9" s="256"/>
      <c r="FM9" s="256"/>
      <c r="FN9" s="256"/>
      <c r="FO9" s="256"/>
      <c r="FP9" s="256"/>
      <c r="FQ9" s="256"/>
      <c r="FR9" s="256"/>
      <c r="FS9" s="256"/>
      <c r="FT9" s="256"/>
      <c r="FU9" s="256"/>
      <c r="FV9" s="256"/>
      <c r="FW9" s="256"/>
      <c r="FX9" s="256"/>
      <c r="FY9" s="256"/>
      <c r="FZ9" s="256"/>
      <c r="GA9" s="256"/>
      <c r="GB9" s="256"/>
      <c r="GC9" s="256"/>
      <c r="GD9" s="256"/>
      <c r="GE9" s="256"/>
      <c r="GF9" s="256"/>
      <c r="GG9" s="256"/>
      <c r="GH9" s="256"/>
      <c r="GI9" s="256"/>
      <c r="GJ9" s="256"/>
      <c r="GK9" s="256"/>
      <c r="GL9" s="256"/>
      <c r="GM9" s="256"/>
      <c r="GN9" s="256"/>
      <c r="GO9" s="256"/>
      <c r="GP9" s="256"/>
      <c r="GQ9" s="256"/>
      <c r="GR9" s="256"/>
      <c r="GS9" s="256"/>
      <c r="GT9" s="256"/>
      <c r="GU9" s="256"/>
      <c r="GV9" s="256"/>
      <c r="GW9" s="256"/>
      <c r="GX9" s="256"/>
      <c r="GY9" s="256"/>
      <c r="GZ9" s="256"/>
      <c r="HA9" s="256"/>
      <c r="HB9" s="256"/>
      <c r="HC9" s="256"/>
      <c r="HD9" s="256"/>
      <c r="HE9" s="256"/>
      <c r="HF9" s="256"/>
      <c r="HG9" s="256"/>
      <c r="HH9" s="256"/>
      <c r="HI9" s="256"/>
      <c r="HJ9" s="256"/>
      <c r="HK9" s="256"/>
      <c r="HL9" s="256"/>
      <c r="HM9" s="256"/>
      <c r="HN9" s="256"/>
      <c r="HO9" s="256"/>
      <c r="HP9" s="256"/>
      <c r="HQ9" s="256"/>
      <c r="HR9" s="256"/>
      <c r="HS9" s="256"/>
      <c r="HT9" s="256"/>
      <c r="HU9" s="256"/>
      <c r="HV9" s="256"/>
      <c r="HW9" s="256"/>
      <c r="HX9" s="256"/>
      <c r="HY9" s="256"/>
      <c r="HZ9" s="256"/>
      <c r="IA9" s="256"/>
      <c r="IB9" s="256"/>
      <c r="IC9" s="256"/>
      <c r="ID9" s="256"/>
      <c r="IE9" s="256"/>
      <c r="IF9" s="256"/>
      <c r="IG9" s="256"/>
      <c r="IH9" s="256"/>
      <c r="II9" s="256"/>
      <c r="IJ9" s="256"/>
      <c r="IK9" s="256"/>
      <c r="IL9" s="256"/>
      <c r="IM9" s="256"/>
      <c r="IN9" s="256"/>
      <c r="IO9" s="256"/>
      <c r="IP9" s="256"/>
      <c r="IQ9" s="256"/>
      <c r="IR9" s="256"/>
      <c r="IS9" s="256"/>
      <c r="IT9" s="256"/>
      <c r="IU9" s="256"/>
      <c r="IV9" s="256"/>
      <c r="IW9" s="256"/>
      <c r="IX9" s="256"/>
      <c r="IY9" s="256"/>
      <c r="IZ9" s="256"/>
      <c r="JA9" s="256"/>
      <c r="JB9" s="256"/>
      <c r="JC9" s="256"/>
      <c r="JD9" s="256"/>
      <c r="JE9" s="256"/>
      <c r="JF9" s="256"/>
      <c r="JG9" s="256"/>
      <c r="JH9" s="256"/>
      <c r="JI9" s="256"/>
      <c r="JJ9" s="256"/>
      <c r="JK9" s="256"/>
      <c r="JL9" s="256"/>
      <c r="JM9" s="256"/>
      <c r="JN9" s="256"/>
      <c r="JO9" s="256"/>
      <c r="JP9" s="256"/>
      <c r="JQ9" s="256"/>
      <c r="JR9" s="256"/>
      <c r="JS9" s="256"/>
      <c r="JT9" s="256"/>
      <c r="JU9" s="256"/>
      <c r="JV9" s="256"/>
      <c r="JW9" s="256"/>
      <c r="JX9" s="256"/>
      <c r="JY9" s="256"/>
      <c r="JZ9" s="256"/>
      <c r="KA9" s="256"/>
      <c r="KB9" s="256"/>
      <c r="KC9" s="256"/>
      <c r="KD9" s="256"/>
      <c r="KE9" s="256"/>
      <c r="KF9" s="256"/>
      <c r="KG9" s="256"/>
      <c r="KH9" s="256"/>
      <c r="KI9" s="256"/>
      <c r="KJ9" s="256"/>
      <c r="KK9" s="256"/>
      <c r="KL9" s="256"/>
      <c r="KM9" s="256"/>
      <c r="KN9" s="256"/>
      <c r="KO9" s="256"/>
      <c r="KP9" s="256"/>
      <c r="KQ9" s="256"/>
      <c r="KR9" s="256"/>
      <c r="KS9" s="256"/>
      <c r="KT9" s="256"/>
      <c r="KU9" s="256"/>
      <c r="KV9" s="256"/>
      <c r="KW9" s="256"/>
      <c r="KX9" s="256"/>
      <c r="KY9" s="256"/>
      <c r="KZ9" s="256"/>
      <c r="LA9" s="256"/>
      <c r="LB9" s="256"/>
      <c r="LC9" s="256"/>
      <c r="LD9" s="256"/>
      <c r="LE9" s="256"/>
      <c r="LF9" s="256"/>
      <c r="LG9" s="256"/>
      <c r="LH9" s="256"/>
      <c r="LI9" s="256"/>
      <c r="LJ9" s="256"/>
      <c r="LK9" s="256"/>
      <c r="LL9" s="256"/>
      <c r="LM9" s="256"/>
      <c r="LN9" s="256"/>
      <c r="LO9" s="256"/>
      <c r="LP9" s="256"/>
      <c r="LQ9" s="256"/>
      <c r="LR9" s="256"/>
      <c r="LS9" s="256"/>
      <c r="LT9" s="256"/>
      <c r="LU9" s="256"/>
      <c r="LV9" s="256"/>
      <c r="LW9" s="256"/>
      <c r="LX9" s="256"/>
      <c r="LY9" s="256"/>
      <c r="LZ9" s="256"/>
      <c r="MA9" s="256"/>
      <c r="MB9" s="256"/>
      <c r="MC9" s="256"/>
      <c r="MD9" s="256"/>
      <c r="ME9" s="256"/>
      <c r="MF9" s="256"/>
      <c r="MG9" s="256"/>
      <c r="MH9" s="256"/>
      <c r="MI9" s="256"/>
      <c r="MJ9" s="256"/>
      <c r="MK9" s="256"/>
      <c r="ML9" s="256"/>
      <c r="MM9" s="256"/>
      <c r="MN9" s="256"/>
      <c r="MO9" s="256"/>
      <c r="MP9" s="256"/>
      <c r="MQ9" s="256"/>
      <c r="MR9" s="256"/>
      <c r="MS9" s="256"/>
      <c r="MT9" s="256"/>
      <c r="MU9" s="256"/>
      <c r="MV9" s="256"/>
      <c r="MW9" s="256"/>
      <c r="MX9" s="256"/>
      <c r="MY9" s="256"/>
      <c r="MZ9" s="256"/>
      <c r="NA9" s="256"/>
      <c r="NB9" s="256"/>
      <c r="NC9" s="256"/>
      <c r="ND9" s="256"/>
      <c r="NE9" s="256"/>
      <c r="NF9" s="256"/>
      <c r="NG9" s="256"/>
      <c r="NH9" s="256"/>
      <c r="NI9" s="256"/>
      <c r="NJ9" s="256"/>
      <c r="NK9" s="256"/>
      <c r="NL9" s="256"/>
      <c r="NM9" s="256"/>
      <c r="NN9" s="256"/>
      <c r="NO9" s="256"/>
      <c r="NP9" s="256"/>
      <c r="NQ9" s="256"/>
      <c r="NR9" s="256"/>
      <c r="NS9" s="256"/>
      <c r="NT9" s="256"/>
      <c r="NU9" s="256"/>
      <c r="NV9" s="256"/>
      <c r="NW9" s="256"/>
      <c r="NX9" s="256"/>
      <c r="NY9" s="256"/>
      <c r="NZ9" s="256"/>
      <c r="OA9" s="256"/>
      <c r="OB9" s="256"/>
      <c r="OC9" s="256"/>
      <c r="OD9" s="256"/>
      <c r="OE9" s="256"/>
      <c r="OF9" s="256"/>
      <c r="OG9" s="256"/>
      <c r="OH9" s="256"/>
      <c r="OI9" s="256"/>
      <c r="OJ9" s="256"/>
      <c r="OK9" s="256"/>
      <c r="OL9" s="256"/>
      <c r="OM9" s="256"/>
      <c r="ON9" s="256"/>
      <c r="OO9" s="256"/>
      <c r="OP9" s="256"/>
      <c r="OQ9" s="256"/>
      <c r="OR9" s="256"/>
      <c r="OS9" s="256"/>
      <c r="OT9" s="256"/>
      <c r="OU9" s="256"/>
      <c r="OV9" s="256"/>
      <c r="OW9" s="256"/>
      <c r="OX9" s="256"/>
      <c r="OY9" s="256"/>
      <c r="OZ9" s="256"/>
      <c r="PA9" s="256"/>
      <c r="PB9" s="256"/>
      <c r="PC9" s="256"/>
      <c r="PD9" s="256"/>
      <c r="PE9" s="256"/>
      <c r="PF9" s="256"/>
      <c r="PG9" s="256"/>
      <c r="PH9" s="256"/>
      <c r="PI9" s="256"/>
      <c r="PJ9" s="256"/>
      <c r="PK9" s="256"/>
      <c r="PL9" s="256"/>
      <c r="PM9" s="256"/>
      <c r="PN9" s="256"/>
      <c r="PO9" s="256"/>
      <c r="PP9" s="256"/>
      <c r="PQ9" s="256"/>
      <c r="PR9" s="256"/>
      <c r="PS9" s="256"/>
      <c r="PT9" s="256"/>
      <c r="PU9" s="256"/>
      <c r="PV9" s="256"/>
      <c r="PW9" s="256"/>
      <c r="PX9" s="256"/>
      <c r="PY9" s="256"/>
      <c r="PZ9" s="256"/>
      <c r="QA9" s="256"/>
      <c r="QB9" s="256"/>
      <c r="QC9" s="256"/>
      <c r="QD9" s="256"/>
      <c r="QE9" s="256"/>
      <c r="QF9" s="256"/>
      <c r="QG9" s="256"/>
      <c r="QH9" s="256"/>
    </row>
    <row r="10" spans="1:450" s="255" customFormat="1" x14ac:dyDescent="0.25">
      <c r="A10" s="249" t="s">
        <v>179</v>
      </c>
      <c r="B10" s="249" t="s">
        <v>256</v>
      </c>
      <c r="C10" s="249" t="s">
        <v>257</v>
      </c>
      <c r="D10" s="250">
        <v>2808</v>
      </c>
      <c r="E10" s="251">
        <v>0.75</v>
      </c>
      <c r="F10" s="250">
        <f>D10*E10</f>
        <v>2106</v>
      </c>
      <c r="G10" s="251">
        <v>0.25</v>
      </c>
      <c r="H10" s="250">
        <f>G10*D10</f>
        <v>702</v>
      </c>
      <c r="I10" s="252"/>
      <c r="J10" s="253">
        <f>F10*12</f>
        <v>25272</v>
      </c>
      <c r="K10" s="254"/>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c r="IU10" s="256"/>
      <c r="IV10" s="256"/>
      <c r="IW10" s="256"/>
      <c r="IX10" s="256"/>
      <c r="IY10" s="256"/>
      <c r="IZ10" s="256"/>
      <c r="JA10" s="256"/>
      <c r="JB10" s="256"/>
      <c r="JC10" s="256"/>
      <c r="JD10" s="256"/>
      <c r="JE10" s="256"/>
      <c r="JF10" s="256"/>
      <c r="JG10" s="256"/>
      <c r="JH10" s="256"/>
      <c r="JI10" s="256"/>
      <c r="JJ10" s="256"/>
      <c r="JK10" s="256"/>
      <c r="JL10" s="256"/>
      <c r="JM10" s="256"/>
      <c r="JN10" s="256"/>
      <c r="JO10" s="256"/>
      <c r="JP10" s="256"/>
      <c r="JQ10" s="256"/>
      <c r="JR10" s="256"/>
      <c r="JS10" s="256"/>
      <c r="JT10" s="256"/>
      <c r="JU10" s="256"/>
      <c r="JV10" s="256"/>
      <c r="JW10" s="256"/>
      <c r="JX10" s="256"/>
      <c r="JY10" s="256"/>
      <c r="JZ10" s="256"/>
      <c r="KA10" s="256"/>
      <c r="KB10" s="256"/>
      <c r="KC10" s="256"/>
      <c r="KD10" s="256"/>
      <c r="KE10" s="256"/>
      <c r="KF10" s="256"/>
      <c r="KG10" s="256"/>
      <c r="KH10" s="256"/>
      <c r="KI10" s="256"/>
      <c r="KJ10" s="256"/>
      <c r="KK10" s="256"/>
      <c r="KL10" s="256"/>
      <c r="KM10" s="256"/>
      <c r="KN10" s="256"/>
      <c r="KO10" s="256"/>
      <c r="KP10" s="256"/>
      <c r="KQ10" s="256"/>
      <c r="KR10" s="256"/>
      <c r="KS10" s="256"/>
      <c r="KT10" s="256"/>
      <c r="KU10" s="256"/>
      <c r="KV10" s="256"/>
      <c r="KW10" s="256"/>
      <c r="KX10" s="256"/>
      <c r="KY10" s="256"/>
      <c r="KZ10" s="256"/>
      <c r="LA10" s="256"/>
      <c r="LB10" s="256"/>
      <c r="LC10" s="256"/>
      <c r="LD10" s="256"/>
      <c r="LE10" s="256"/>
      <c r="LF10" s="256"/>
      <c r="LG10" s="256"/>
      <c r="LH10" s="256"/>
      <c r="LI10" s="256"/>
      <c r="LJ10" s="256"/>
      <c r="LK10" s="256"/>
      <c r="LL10" s="256"/>
      <c r="LM10" s="256"/>
      <c r="LN10" s="256"/>
      <c r="LO10" s="256"/>
      <c r="LP10" s="256"/>
      <c r="LQ10" s="256"/>
      <c r="LR10" s="256"/>
      <c r="LS10" s="256"/>
      <c r="LT10" s="256"/>
      <c r="LU10" s="256"/>
      <c r="LV10" s="256"/>
      <c r="LW10" s="256"/>
      <c r="LX10" s="256"/>
      <c r="LY10" s="256"/>
      <c r="LZ10" s="256"/>
      <c r="MA10" s="256"/>
      <c r="MB10" s="256"/>
      <c r="MC10" s="256"/>
      <c r="MD10" s="256"/>
      <c r="ME10" s="256"/>
      <c r="MF10" s="256"/>
      <c r="MG10" s="256"/>
      <c r="MH10" s="256"/>
      <c r="MI10" s="256"/>
      <c r="MJ10" s="256"/>
      <c r="MK10" s="256"/>
      <c r="ML10" s="256"/>
      <c r="MM10" s="256"/>
      <c r="MN10" s="256"/>
      <c r="MO10" s="256"/>
      <c r="MP10" s="256"/>
      <c r="MQ10" s="256"/>
      <c r="MR10" s="256"/>
      <c r="MS10" s="256"/>
      <c r="MT10" s="256"/>
      <c r="MU10" s="256"/>
      <c r="MV10" s="256"/>
      <c r="MW10" s="256"/>
      <c r="MX10" s="256"/>
      <c r="MY10" s="256"/>
      <c r="MZ10" s="256"/>
      <c r="NA10" s="256"/>
      <c r="NB10" s="256"/>
      <c r="NC10" s="256"/>
      <c r="ND10" s="256"/>
      <c r="NE10" s="256"/>
      <c r="NF10" s="256"/>
      <c r="NG10" s="256"/>
      <c r="NH10" s="256"/>
      <c r="NI10" s="256"/>
      <c r="NJ10" s="256"/>
      <c r="NK10" s="256"/>
      <c r="NL10" s="256"/>
      <c r="NM10" s="256"/>
      <c r="NN10" s="256"/>
      <c r="NO10" s="256"/>
      <c r="NP10" s="256"/>
      <c r="NQ10" s="256"/>
      <c r="NR10" s="256"/>
      <c r="NS10" s="256"/>
      <c r="NT10" s="256"/>
      <c r="NU10" s="256"/>
      <c r="NV10" s="256"/>
      <c r="NW10" s="256"/>
      <c r="NX10" s="256"/>
      <c r="NY10" s="256"/>
      <c r="NZ10" s="256"/>
      <c r="OA10" s="256"/>
      <c r="OB10" s="256"/>
      <c r="OC10" s="256"/>
      <c r="OD10" s="256"/>
      <c r="OE10" s="256"/>
      <c r="OF10" s="256"/>
      <c r="OG10" s="256"/>
      <c r="OH10" s="256"/>
      <c r="OI10" s="256"/>
      <c r="OJ10" s="256"/>
      <c r="OK10" s="256"/>
      <c r="OL10" s="256"/>
      <c r="OM10" s="256"/>
      <c r="ON10" s="256"/>
      <c r="OO10" s="256"/>
      <c r="OP10" s="256"/>
      <c r="OQ10" s="256"/>
      <c r="OR10" s="256"/>
      <c r="OS10" s="256"/>
      <c r="OT10" s="256"/>
      <c r="OU10" s="256"/>
      <c r="OV10" s="256"/>
      <c r="OW10" s="256"/>
      <c r="OX10" s="256"/>
      <c r="OY10" s="256"/>
      <c r="OZ10" s="256"/>
      <c r="PA10" s="256"/>
      <c r="PB10" s="256"/>
      <c r="PC10" s="256"/>
      <c r="PD10" s="256"/>
      <c r="PE10" s="256"/>
      <c r="PF10" s="256"/>
      <c r="PG10" s="256"/>
      <c r="PH10" s="256"/>
      <c r="PI10" s="256"/>
      <c r="PJ10" s="256"/>
      <c r="PK10" s="256"/>
      <c r="PL10" s="256"/>
      <c r="PM10" s="256"/>
      <c r="PN10" s="256"/>
      <c r="PO10" s="256"/>
      <c r="PP10" s="256"/>
      <c r="PQ10" s="256"/>
      <c r="PR10" s="256"/>
      <c r="PS10" s="256"/>
      <c r="PT10" s="256"/>
      <c r="PU10" s="256"/>
      <c r="PV10" s="256"/>
      <c r="PW10" s="256"/>
      <c r="PX10" s="256"/>
      <c r="PY10" s="256"/>
      <c r="PZ10" s="256"/>
      <c r="QA10" s="256"/>
      <c r="QB10" s="256"/>
      <c r="QC10" s="256"/>
      <c r="QD10" s="256"/>
      <c r="QE10" s="256"/>
      <c r="QF10" s="256"/>
      <c r="QG10" s="256"/>
      <c r="QH10" s="256"/>
    </row>
    <row r="11" spans="1:450" s="255" customFormat="1" x14ac:dyDescent="0.25">
      <c r="A11" s="249" t="s">
        <v>179</v>
      </c>
      <c r="B11" s="249" t="s">
        <v>2011</v>
      </c>
      <c r="C11" s="249" t="s">
        <v>257</v>
      </c>
      <c r="D11" s="250">
        <v>2808</v>
      </c>
      <c r="E11" s="251">
        <v>0.75</v>
      </c>
      <c r="F11" s="250">
        <f>D11*E11</f>
        <v>2106</v>
      </c>
      <c r="G11" s="251">
        <v>0.25</v>
      </c>
      <c r="H11" s="250">
        <f>G11*D11</f>
        <v>702</v>
      </c>
      <c r="I11" s="252"/>
      <c r="J11" s="253">
        <f>F11*12</f>
        <v>25272</v>
      </c>
      <c r="K11" s="254"/>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c r="IU11" s="256"/>
      <c r="IV11" s="256"/>
      <c r="IW11" s="256"/>
      <c r="IX11" s="256"/>
      <c r="IY11" s="256"/>
      <c r="IZ11" s="256"/>
      <c r="JA11" s="256"/>
      <c r="JB11" s="256"/>
      <c r="JC11" s="256"/>
      <c r="JD11" s="256"/>
      <c r="JE11" s="256"/>
      <c r="JF11" s="256"/>
      <c r="JG11" s="256"/>
      <c r="JH11" s="256"/>
      <c r="JI11" s="256"/>
      <c r="JJ11" s="256"/>
      <c r="JK11" s="256"/>
      <c r="JL11" s="256"/>
      <c r="JM11" s="256"/>
      <c r="JN11" s="256"/>
      <c r="JO11" s="256"/>
      <c r="JP11" s="256"/>
      <c r="JQ11" s="256"/>
      <c r="JR11" s="256"/>
      <c r="JS11" s="256"/>
      <c r="JT11" s="256"/>
      <c r="JU11" s="256"/>
      <c r="JV11" s="256"/>
      <c r="JW11" s="256"/>
      <c r="JX11" s="256"/>
      <c r="JY11" s="256"/>
      <c r="JZ11" s="256"/>
      <c r="KA11" s="256"/>
      <c r="KB11" s="256"/>
      <c r="KC11" s="256"/>
      <c r="KD11" s="256"/>
      <c r="KE11" s="256"/>
      <c r="KF11" s="256"/>
      <c r="KG11" s="256"/>
      <c r="KH11" s="256"/>
      <c r="KI11" s="256"/>
      <c r="KJ11" s="256"/>
      <c r="KK11" s="256"/>
      <c r="KL11" s="256"/>
      <c r="KM11" s="256"/>
      <c r="KN11" s="256"/>
      <c r="KO11" s="256"/>
      <c r="KP11" s="256"/>
      <c r="KQ11" s="256"/>
      <c r="KR11" s="256"/>
      <c r="KS11" s="256"/>
      <c r="KT11" s="256"/>
      <c r="KU11" s="256"/>
      <c r="KV11" s="256"/>
      <c r="KW11" s="256"/>
      <c r="KX11" s="256"/>
      <c r="KY11" s="256"/>
      <c r="KZ11" s="256"/>
      <c r="LA11" s="256"/>
      <c r="LB11" s="256"/>
      <c r="LC11" s="256"/>
      <c r="LD11" s="256"/>
      <c r="LE11" s="256"/>
      <c r="LF11" s="256"/>
      <c r="LG11" s="256"/>
      <c r="LH11" s="256"/>
      <c r="LI11" s="256"/>
      <c r="LJ11" s="256"/>
      <c r="LK11" s="256"/>
      <c r="LL11" s="256"/>
      <c r="LM11" s="256"/>
      <c r="LN11" s="256"/>
      <c r="LO11" s="256"/>
      <c r="LP11" s="256"/>
      <c r="LQ11" s="256"/>
      <c r="LR11" s="256"/>
      <c r="LS11" s="256"/>
      <c r="LT11" s="256"/>
      <c r="LU11" s="256"/>
      <c r="LV11" s="256"/>
      <c r="LW11" s="256"/>
      <c r="LX11" s="256"/>
      <c r="LY11" s="256"/>
      <c r="LZ11" s="256"/>
      <c r="MA11" s="256"/>
      <c r="MB11" s="256"/>
      <c r="MC11" s="256"/>
      <c r="MD11" s="256"/>
      <c r="ME11" s="256"/>
      <c r="MF11" s="256"/>
      <c r="MG11" s="256"/>
      <c r="MH11" s="256"/>
      <c r="MI11" s="256"/>
      <c r="MJ11" s="256"/>
      <c r="MK11" s="256"/>
      <c r="ML11" s="256"/>
      <c r="MM11" s="256"/>
      <c r="MN11" s="256"/>
      <c r="MO11" s="256"/>
      <c r="MP11" s="256"/>
      <c r="MQ11" s="256"/>
      <c r="MR11" s="256"/>
      <c r="MS11" s="256"/>
      <c r="MT11" s="256"/>
      <c r="MU11" s="256"/>
      <c r="MV11" s="256"/>
      <c r="MW11" s="256"/>
      <c r="MX11" s="256"/>
      <c r="MY11" s="256"/>
      <c r="MZ11" s="256"/>
      <c r="NA11" s="256"/>
      <c r="NB11" s="256"/>
      <c r="NC11" s="256"/>
      <c r="ND11" s="256"/>
      <c r="NE11" s="256"/>
      <c r="NF11" s="256"/>
      <c r="NG11" s="256"/>
      <c r="NH11" s="256"/>
      <c r="NI11" s="256"/>
      <c r="NJ11" s="256"/>
      <c r="NK11" s="256"/>
      <c r="NL11" s="256"/>
      <c r="NM11" s="256"/>
      <c r="NN11" s="256"/>
      <c r="NO11" s="256"/>
      <c r="NP11" s="256"/>
      <c r="NQ11" s="256"/>
      <c r="NR11" s="256"/>
      <c r="NS11" s="256"/>
      <c r="NT11" s="256"/>
      <c r="NU11" s="256"/>
      <c r="NV11" s="256"/>
      <c r="NW11" s="256"/>
      <c r="NX11" s="256"/>
      <c r="NY11" s="256"/>
      <c r="NZ11" s="256"/>
      <c r="OA11" s="256"/>
      <c r="OB11" s="256"/>
      <c r="OC11" s="256"/>
      <c r="OD11" s="256"/>
      <c r="OE11" s="256"/>
      <c r="OF11" s="256"/>
      <c r="OG11" s="256"/>
      <c r="OH11" s="256"/>
      <c r="OI11" s="256"/>
      <c r="OJ11" s="256"/>
      <c r="OK11" s="256"/>
      <c r="OL11" s="256"/>
      <c r="OM11" s="256"/>
      <c r="ON11" s="256"/>
      <c r="OO11" s="256"/>
      <c r="OP11" s="256"/>
      <c r="OQ11" s="256"/>
      <c r="OR11" s="256"/>
      <c r="OS11" s="256"/>
      <c r="OT11" s="256"/>
      <c r="OU11" s="256"/>
      <c r="OV11" s="256"/>
      <c r="OW11" s="256"/>
      <c r="OX11" s="256"/>
      <c r="OY11" s="256"/>
      <c r="OZ11" s="256"/>
      <c r="PA11" s="256"/>
      <c r="PB11" s="256"/>
      <c r="PC11" s="256"/>
      <c r="PD11" s="256"/>
      <c r="PE11" s="256"/>
      <c r="PF11" s="256"/>
      <c r="PG11" s="256"/>
      <c r="PH11" s="256"/>
      <c r="PI11" s="256"/>
      <c r="PJ11" s="256"/>
      <c r="PK11" s="256"/>
      <c r="PL11" s="256"/>
      <c r="PM11" s="256"/>
      <c r="PN11" s="256"/>
      <c r="PO11" s="256"/>
      <c r="PP11" s="256"/>
      <c r="PQ11" s="256"/>
      <c r="PR11" s="256"/>
      <c r="PS11" s="256"/>
      <c r="PT11" s="256"/>
      <c r="PU11" s="256"/>
      <c r="PV11" s="256"/>
      <c r="PW11" s="256"/>
      <c r="PX11" s="256"/>
      <c r="PY11" s="256"/>
      <c r="PZ11" s="256"/>
      <c r="QA11" s="256"/>
      <c r="QB11" s="256"/>
      <c r="QC11" s="256"/>
      <c r="QD11" s="256"/>
      <c r="QE11" s="256"/>
      <c r="QF11" s="256"/>
      <c r="QG11" s="256"/>
      <c r="QH11" s="256"/>
    </row>
    <row r="12" spans="1:450" s="255" customFormat="1" x14ac:dyDescent="0.25">
      <c r="A12" s="249" t="s">
        <v>179</v>
      </c>
      <c r="B12" s="249" t="s">
        <v>258</v>
      </c>
      <c r="C12" s="249" t="s">
        <v>257</v>
      </c>
      <c r="D12" s="250">
        <v>2249</v>
      </c>
      <c r="E12" s="251">
        <v>0.75</v>
      </c>
      <c r="F12" s="250">
        <f>D12*E12</f>
        <v>1686.75</v>
      </c>
      <c r="G12" s="251">
        <v>0.25</v>
      </c>
      <c r="H12" s="250">
        <f>G12*D12</f>
        <v>562.25</v>
      </c>
      <c r="I12" s="252"/>
      <c r="J12" s="253">
        <f>F12*12</f>
        <v>20241</v>
      </c>
      <c r="K12" s="254">
        <f>SUM(J10:J12)</f>
        <v>70785</v>
      </c>
      <c r="L12" s="254">
        <f>K12</f>
        <v>70785</v>
      </c>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c r="IW12" s="256"/>
      <c r="IX12" s="256"/>
      <c r="IY12" s="256"/>
      <c r="IZ12" s="256"/>
      <c r="JA12" s="256"/>
      <c r="JB12" s="256"/>
      <c r="JC12" s="256"/>
      <c r="JD12" s="256"/>
      <c r="JE12" s="256"/>
      <c r="JF12" s="256"/>
      <c r="JG12" s="256"/>
      <c r="JH12" s="256"/>
      <c r="JI12" s="256"/>
      <c r="JJ12" s="256"/>
      <c r="JK12" s="256"/>
      <c r="JL12" s="256"/>
      <c r="JM12" s="256"/>
      <c r="JN12" s="256"/>
      <c r="JO12" s="256"/>
      <c r="JP12" s="256"/>
      <c r="JQ12" s="256"/>
      <c r="JR12" s="256"/>
      <c r="JS12" s="256"/>
      <c r="JT12" s="256"/>
      <c r="JU12" s="256"/>
      <c r="JV12" s="256"/>
      <c r="JW12" s="256"/>
      <c r="JX12" s="256"/>
      <c r="JY12" s="256"/>
      <c r="JZ12" s="256"/>
      <c r="KA12" s="256"/>
      <c r="KB12" s="256"/>
      <c r="KC12" s="256"/>
      <c r="KD12" s="256"/>
      <c r="KE12" s="256"/>
      <c r="KF12" s="256"/>
      <c r="KG12" s="256"/>
      <c r="KH12" s="256"/>
      <c r="KI12" s="256"/>
      <c r="KJ12" s="256"/>
      <c r="KK12" s="256"/>
      <c r="KL12" s="256"/>
      <c r="KM12" s="256"/>
      <c r="KN12" s="256"/>
      <c r="KO12" s="256"/>
      <c r="KP12" s="256"/>
      <c r="KQ12" s="256"/>
      <c r="KR12" s="256"/>
      <c r="KS12" s="256"/>
      <c r="KT12" s="256"/>
      <c r="KU12" s="256"/>
      <c r="KV12" s="256"/>
      <c r="KW12" s="256"/>
      <c r="KX12" s="256"/>
      <c r="KY12" s="256"/>
      <c r="KZ12" s="256"/>
      <c r="LA12" s="256"/>
      <c r="LB12" s="256"/>
      <c r="LC12" s="256"/>
      <c r="LD12" s="256"/>
      <c r="LE12" s="256"/>
      <c r="LF12" s="256"/>
      <c r="LG12" s="256"/>
      <c r="LH12" s="256"/>
      <c r="LI12" s="256"/>
      <c r="LJ12" s="256"/>
      <c r="LK12" s="256"/>
      <c r="LL12" s="256"/>
      <c r="LM12" s="256"/>
      <c r="LN12" s="256"/>
      <c r="LO12" s="256"/>
      <c r="LP12" s="256"/>
      <c r="LQ12" s="256"/>
      <c r="LR12" s="256"/>
      <c r="LS12" s="256"/>
      <c r="LT12" s="256"/>
      <c r="LU12" s="256"/>
      <c r="LV12" s="256"/>
      <c r="LW12" s="256"/>
      <c r="LX12" s="256"/>
      <c r="LY12" s="256"/>
      <c r="LZ12" s="256"/>
      <c r="MA12" s="256"/>
      <c r="MB12" s="256"/>
      <c r="MC12" s="256"/>
      <c r="MD12" s="256"/>
      <c r="ME12" s="256"/>
      <c r="MF12" s="256"/>
      <c r="MG12" s="256"/>
      <c r="MH12" s="256"/>
      <c r="MI12" s="256"/>
      <c r="MJ12" s="256"/>
      <c r="MK12" s="256"/>
      <c r="ML12" s="256"/>
      <c r="MM12" s="256"/>
      <c r="MN12" s="256"/>
      <c r="MO12" s="256"/>
      <c r="MP12" s="256"/>
      <c r="MQ12" s="256"/>
      <c r="MR12" s="256"/>
      <c r="MS12" s="256"/>
      <c r="MT12" s="256"/>
      <c r="MU12" s="256"/>
      <c r="MV12" s="256"/>
      <c r="MW12" s="256"/>
      <c r="MX12" s="256"/>
      <c r="MY12" s="256"/>
      <c r="MZ12" s="256"/>
      <c r="NA12" s="256"/>
      <c r="NB12" s="256"/>
      <c r="NC12" s="256"/>
      <c r="ND12" s="256"/>
      <c r="NE12" s="256"/>
      <c r="NF12" s="256"/>
      <c r="NG12" s="256"/>
      <c r="NH12" s="256"/>
      <c r="NI12" s="256"/>
      <c r="NJ12" s="256"/>
      <c r="NK12" s="256"/>
      <c r="NL12" s="256"/>
      <c r="NM12" s="256"/>
      <c r="NN12" s="256"/>
      <c r="NO12" s="256"/>
      <c r="NP12" s="256"/>
      <c r="NQ12" s="256"/>
      <c r="NR12" s="256"/>
      <c r="NS12" s="256"/>
      <c r="NT12" s="256"/>
      <c r="NU12" s="256"/>
      <c r="NV12" s="256"/>
      <c r="NW12" s="256"/>
      <c r="NX12" s="256"/>
      <c r="NY12" s="256"/>
      <c r="NZ12" s="256"/>
      <c r="OA12" s="256"/>
      <c r="OB12" s="256"/>
      <c r="OC12" s="256"/>
      <c r="OD12" s="256"/>
      <c r="OE12" s="256"/>
      <c r="OF12" s="256"/>
      <c r="OG12" s="256"/>
      <c r="OH12" s="256"/>
      <c r="OI12" s="256"/>
      <c r="OJ12" s="256"/>
      <c r="OK12" s="256"/>
      <c r="OL12" s="256"/>
      <c r="OM12" s="256"/>
      <c r="ON12" s="256"/>
      <c r="OO12" s="256"/>
      <c r="OP12" s="256"/>
      <c r="OQ12" s="256"/>
      <c r="OR12" s="256"/>
      <c r="OS12" s="256"/>
      <c r="OT12" s="256"/>
      <c r="OU12" s="256"/>
      <c r="OV12" s="256"/>
      <c r="OW12" s="256"/>
      <c r="OX12" s="256"/>
      <c r="OY12" s="256"/>
      <c r="OZ12" s="256"/>
      <c r="PA12" s="256"/>
      <c r="PB12" s="256"/>
      <c r="PC12" s="256"/>
      <c r="PD12" s="256"/>
      <c r="PE12" s="256"/>
      <c r="PF12" s="256"/>
      <c r="PG12" s="256"/>
      <c r="PH12" s="256"/>
      <c r="PI12" s="256"/>
      <c r="PJ12" s="256"/>
      <c r="PK12" s="256"/>
      <c r="PL12" s="256"/>
      <c r="PM12" s="256"/>
      <c r="PN12" s="256"/>
      <c r="PO12" s="256"/>
      <c r="PP12" s="256"/>
      <c r="PQ12" s="256"/>
      <c r="PR12" s="256"/>
      <c r="PS12" s="256"/>
      <c r="PT12" s="256"/>
      <c r="PU12" s="256"/>
      <c r="PV12" s="256"/>
      <c r="PW12" s="256"/>
      <c r="PX12" s="256"/>
      <c r="PY12" s="256"/>
      <c r="PZ12" s="256"/>
      <c r="QA12" s="256"/>
      <c r="QB12" s="256"/>
      <c r="QC12" s="256"/>
      <c r="QD12" s="256"/>
      <c r="QE12" s="256"/>
      <c r="QF12" s="256"/>
      <c r="QG12" s="256"/>
      <c r="QH12" s="256"/>
    </row>
    <row r="13" spans="1:450" s="77" customFormat="1" ht="13.5" customHeight="1" x14ac:dyDescent="0.3">
      <c r="A13" s="178"/>
      <c r="B13" s="178"/>
      <c r="C13" s="84"/>
      <c r="D13" s="85"/>
      <c r="E13" s="178"/>
      <c r="F13" s="180"/>
      <c r="G13" s="178"/>
      <c r="H13" s="179"/>
      <c r="I13" s="82"/>
      <c r="K13" s="171"/>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c r="IU13" s="256"/>
      <c r="IV13" s="256"/>
      <c r="IW13" s="256"/>
      <c r="IX13" s="256"/>
      <c r="IY13" s="256"/>
      <c r="IZ13" s="256"/>
      <c r="JA13" s="256"/>
      <c r="JB13" s="256"/>
      <c r="JC13" s="256"/>
      <c r="JD13" s="256"/>
      <c r="JE13" s="256"/>
      <c r="JF13" s="256"/>
      <c r="JG13" s="256"/>
      <c r="JH13" s="256"/>
      <c r="JI13" s="256"/>
      <c r="JJ13" s="256"/>
      <c r="JK13" s="256"/>
      <c r="JL13" s="256"/>
      <c r="JM13" s="256"/>
      <c r="JN13" s="256"/>
      <c r="JO13" s="256"/>
      <c r="JP13" s="256"/>
      <c r="JQ13" s="256"/>
      <c r="JR13" s="256"/>
      <c r="JS13" s="256"/>
      <c r="JT13" s="256"/>
      <c r="JU13" s="256"/>
      <c r="JV13" s="256"/>
      <c r="JW13" s="256"/>
      <c r="JX13" s="256"/>
      <c r="JY13" s="256"/>
      <c r="JZ13" s="256"/>
      <c r="KA13" s="256"/>
      <c r="KB13" s="256"/>
      <c r="KC13" s="256"/>
      <c r="KD13" s="256"/>
      <c r="KE13" s="256"/>
      <c r="KF13" s="256"/>
      <c r="KG13" s="256"/>
      <c r="KH13" s="256"/>
      <c r="KI13" s="256"/>
      <c r="KJ13" s="256"/>
      <c r="KK13" s="256"/>
      <c r="KL13" s="256"/>
      <c r="KM13" s="256"/>
      <c r="KN13" s="256"/>
      <c r="KO13" s="256"/>
      <c r="KP13" s="256"/>
      <c r="KQ13" s="256"/>
      <c r="KR13" s="256"/>
      <c r="KS13" s="256"/>
      <c r="KT13" s="256"/>
      <c r="KU13" s="256"/>
      <c r="KV13" s="256"/>
      <c r="KW13" s="256"/>
      <c r="KX13" s="256"/>
      <c r="KY13" s="256"/>
      <c r="KZ13" s="256"/>
      <c r="LA13" s="256"/>
      <c r="LB13" s="256"/>
      <c r="LC13" s="256"/>
      <c r="LD13" s="256"/>
      <c r="LE13" s="256"/>
      <c r="LF13" s="256"/>
      <c r="LG13" s="256"/>
      <c r="LH13" s="256"/>
      <c r="LI13" s="256"/>
      <c r="LJ13" s="256"/>
      <c r="LK13" s="256"/>
      <c r="LL13" s="256"/>
      <c r="LM13" s="256"/>
      <c r="LN13" s="256"/>
      <c r="LO13" s="256"/>
      <c r="LP13" s="256"/>
      <c r="LQ13" s="256"/>
      <c r="LR13" s="256"/>
      <c r="LS13" s="256"/>
      <c r="LT13" s="256"/>
      <c r="LU13" s="256"/>
      <c r="LV13" s="256"/>
      <c r="LW13" s="256"/>
      <c r="LX13" s="256"/>
      <c r="LY13" s="256"/>
      <c r="LZ13" s="256"/>
      <c r="MA13" s="256"/>
      <c r="MB13" s="256"/>
      <c r="MC13" s="256"/>
      <c r="MD13" s="256"/>
      <c r="ME13" s="256"/>
      <c r="MF13" s="256"/>
      <c r="MG13" s="256"/>
      <c r="MH13" s="256"/>
      <c r="MI13" s="256"/>
      <c r="MJ13" s="256"/>
      <c r="MK13" s="256"/>
      <c r="ML13" s="256"/>
      <c r="MM13" s="256"/>
      <c r="MN13" s="256"/>
      <c r="MO13" s="256"/>
      <c r="MP13" s="256"/>
      <c r="MQ13" s="256"/>
      <c r="MR13" s="256"/>
      <c r="MS13" s="256"/>
      <c r="MT13" s="256"/>
      <c r="MU13" s="256"/>
      <c r="MV13" s="256"/>
      <c r="MW13" s="256"/>
      <c r="MX13" s="256"/>
      <c r="MY13" s="256"/>
      <c r="MZ13" s="256"/>
      <c r="NA13" s="256"/>
      <c r="NB13" s="256"/>
      <c r="NC13" s="256"/>
      <c r="ND13" s="256"/>
      <c r="NE13" s="256"/>
      <c r="NF13" s="256"/>
      <c r="NG13" s="256"/>
      <c r="NH13" s="256"/>
      <c r="NI13" s="256"/>
      <c r="NJ13" s="256"/>
      <c r="NK13" s="256"/>
      <c r="NL13" s="256"/>
      <c r="NM13" s="256"/>
      <c r="NN13" s="256"/>
      <c r="NO13" s="256"/>
      <c r="NP13" s="256"/>
      <c r="NQ13" s="256"/>
      <c r="NR13" s="256"/>
      <c r="NS13" s="256"/>
      <c r="NT13" s="256"/>
      <c r="NU13" s="256"/>
      <c r="NV13" s="256"/>
      <c r="NW13" s="256"/>
      <c r="NX13" s="256"/>
      <c r="NY13" s="256"/>
      <c r="NZ13" s="256"/>
      <c r="OA13" s="256"/>
      <c r="OB13" s="256"/>
      <c r="OC13" s="256"/>
      <c r="OD13" s="256"/>
      <c r="OE13" s="256"/>
      <c r="OF13" s="256"/>
      <c r="OG13" s="256"/>
      <c r="OH13" s="256"/>
      <c r="OI13" s="256"/>
      <c r="OJ13" s="256"/>
      <c r="OK13" s="256"/>
      <c r="OL13" s="256"/>
      <c r="OM13" s="256"/>
      <c r="ON13" s="256"/>
      <c r="OO13" s="256"/>
      <c r="OP13" s="256"/>
      <c r="OQ13" s="256"/>
      <c r="OR13" s="256"/>
      <c r="OS13" s="256"/>
      <c r="OT13" s="256"/>
      <c r="OU13" s="256"/>
      <c r="OV13" s="256"/>
      <c r="OW13" s="256"/>
      <c r="OX13" s="256"/>
      <c r="OY13" s="256"/>
      <c r="OZ13" s="256"/>
      <c r="PA13" s="256"/>
      <c r="PB13" s="256"/>
      <c r="PC13" s="256"/>
      <c r="PD13" s="256"/>
      <c r="PE13" s="256"/>
      <c r="PF13" s="256"/>
      <c r="PG13" s="256"/>
      <c r="PH13" s="256"/>
      <c r="PI13" s="256"/>
      <c r="PJ13" s="256"/>
      <c r="PK13" s="256"/>
      <c r="PL13" s="256"/>
      <c r="PM13" s="256"/>
      <c r="PN13" s="256"/>
      <c r="PO13" s="256"/>
      <c r="PP13" s="256"/>
      <c r="PQ13" s="256"/>
      <c r="PR13" s="256"/>
      <c r="PS13" s="256"/>
      <c r="PT13" s="256"/>
      <c r="PU13" s="256"/>
      <c r="PV13" s="256"/>
      <c r="PW13" s="256"/>
      <c r="PX13" s="256"/>
      <c r="PY13" s="256"/>
      <c r="PZ13" s="256"/>
      <c r="QA13" s="256"/>
      <c r="QB13" s="256"/>
      <c r="QC13" s="256"/>
      <c r="QD13" s="256"/>
      <c r="QE13" s="256"/>
      <c r="QF13" s="256"/>
      <c r="QG13" s="256"/>
      <c r="QH13" s="256"/>
    </row>
    <row r="14" spans="1:450" x14ac:dyDescent="0.25">
      <c r="A14" s="81" t="s">
        <v>179</v>
      </c>
      <c r="B14" s="81" t="s">
        <v>229</v>
      </c>
      <c r="C14" s="81" t="s">
        <v>230</v>
      </c>
      <c r="D14" s="87">
        <v>2303</v>
      </c>
      <c r="E14" s="85">
        <v>0.75</v>
      </c>
      <c r="F14" s="169">
        <f t="shared" ref="F14:F26" si="0">D14*E14</f>
        <v>1727.25</v>
      </c>
      <c r="G14" s="85">
        <v>0.25</v>
      </c>
      <c r="H14" s="86">
        <f t="shared" ref="H14:H42" si="1">G14*D14</f>
        <v>575.75</v>
      </c>
      <c r="I14" s="82"/>
      <c r="J14" s="170">
        <f t="shared" ref="J14:J44" si="2">F14*12</f>
        <v>20727</v>
      </c>
      <c r="K14" s="172">
        <f t="shared" ref="K14:L17" si="3">J14</f>
        <v>20727</v>
      </c>
      <c r="L14" s="285">
        <f t="shared" si="3"/>
        <v>20727</v>
      </c>
    </row>
    <row r="15" spans="1:450" s="77" customFormat="1" x14ac:dyDescent="0.25">
      <c r="A15" s="81" t="s">
        <v>179</v>
      </c>
      <c r="B15" s="81" t="s">
        <v>224</v>
      </c>
      <c r="C15" s="81" t="s">
        <v>225</v>
      </c>
      <c r="D15" s="87">
        <v>2808</v>
      </c>
      <c r="E15" s="85">
        <v>0.75</v>
      </c>
      <c r="F15" s="169">
        <f>D15*E15</f>
        <v>2106</v>
      </c>
      <c r="G15" s="85">
        <v>0.25</v>
      </c>
      <c r="H15" s="86">
        <f>G15*D15</f>
        <v>702</v>
      </c>
      <c r="I15" s="82"/>
      <c r="J15" s="170">
        <f>F15*12</f>
        <v>25272</v>
      </c>
      <c r="K15" s="172">
        <f t="shared" si="3"/>
        <v>25272</v>
      </c>
      <c r="L15" s="285">
        <f t="shared" si="3"/>
        <v>25272</v>
      </c>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6"/>
      <c r="DP15" s="256"/>
      <c r="DQ15" s="256"/>
      <c r="DR15" s="256"/>
      <c r="DS15" s="256"/>
      <c r="DT15" s="256"/>
      <c r="DU15" s="256"/>
      <c r="DV15" s="256"/>
      <c r="DW15" s="256"/>
      <c r="DX15" s="256"/>
      <c r="DY15" s="256"/>
      <c r="DZ15" s="256"/>
      <c r="EA15" s="256"/>
      <c r="EB15" s="256"/>
      <c r="EC15" s="256"/>
      <c r="ED15" s="256"/>
      <c r="EE15" s="256"/>
      <c r="EF15" s="256"/>
      <c r="EG15" s="256"/>
      <c r="EH15" s="256"/>
      <c r="EI15" s="256"/>
      <c r="EJ15" s="256"/>
      <c r="EK15" s="256"/>
      <c r="EL15" s="256"/>
      <c r="EM15" s="256"/>
      <c r="EN15" s="256"/>
      <c r="EO15" s="256"/>
      <c r="EP15" s="256"/>
      <c r="EQ15" s="256"/>
      <c r="ER15" s="256"/>
      <c r="ES15" s="256"/>
      <c r="ET15" s="256"/>
      <c r="EU15" s="256"/>
      <c r="EV15" s="256"/>
      <c r="EW15" s="256"/>
      <c r="EX15" s="256"/>
      <c r="EY15" s="256"/>
      <c r="EZ15" s="256"/>
      <c r="FA15" s="256"/>
      <c r="FB15" s="256"/>
      <c r="FC15" s="256"/>
      <c r="FD15" s="256"/>
      <c r="FE15" s="256"/>
      <c r="FF15" s="256"/>
      <c r="FG15" s="256"/>
      <c r="FH15" s="256"/>
      <c r="FI15" s="256"/>
      <c r="FJ15" s="256"/>
      <c r="FK15" s="256"/>
      <c r="FL15" s="256"/>
      <c r="FM15" s="256"/>
      <c r="FN15" s="256"/>
      <c r="FO15" s="256"/>
      <c r="FP15" s="256"/>
      <c r="FQ15" s="256"/>
      <c r="FR15" s="256"/>
      <c r="FS15" s="256"/>
      <c r="FT15" s="256"/>
      <c r="FU15" s="256"/>
      <c r="FV15" s="256"/>
      <c r="FW15" s="256"/>
      <c r="FX15" s="256"/>
      <c r="FY15" s="256"/>
      <c r="FZ15" s="256"/>
      <c r="GA15" s="256"/>
      <c r="GB15" s="256"/>
      <c r="GC15" s="256"/>
      <c r="GD15" s="256"/>
      <c r="GE15" s="256"/>
      <c r="GF15" s="256"/>
      <c r="GG15" s="256"/>
      <c r="GH15" s="256"/>
      <c r="GI15" s="256"/>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6"/>
      <c r="IH15" s="256"/>
      <c r="II15" s="256"/>
      <c r="IJ15" s="256"/>
      <c r="IK15" s="256"/>
      <c r="IL15" s="256"/>
      <c r="IM15" s="256"/>
      <c r="IN15" s="256"/>
      <c r="IO15" s="256"/>
      <c r="IP15" s="256"/>
      <c r="IQ15" s="256"/>
      <c r="IR15" s="256"/>
      <c r="IS15" s="256"/>
      <c r="IT15" s="256"/>
      <c r="IU15" s="256"/>
      <c r="IV15" s="256"/>
      <c r="IW15" s="256"/>
      <c r="IX15" s="256"/>
      <c r="IY15" s="256"/>
      <c r="IZ15" s="256"/>
      <c r="JA15" s="256"/>
      <c r="JB15" s="256"/>
      <c r="JC15" s="256"/>
      <c r="JD15" s="256"/>
      <c r="JE15" s="256"/>
      <c r="JF15" s="256"/>
      <c r="JG15" s="256"/>
      <c r="JH15" s="256"/>
      <c r="JI15" s="256"/>
      <c r="JJ15" s="256"/>
      <c r="JK15" s="256"/>
      <c r="JL15" s="256"/>
      <c r="JM15" s="256"/>
      <c r="JN15" s="256"/>
      <c r="JO15" s="256"/>
      <c r="JP15" s="256"/>
      <c r="JQ15" s="256"/>
      <c r="JR15" s="256"/>
      <c r="JS15" s="256"/>
      <c r="JT15" s="256"/>
      <c r="JU15" s="256"/>
      <c r="JV15" s="256"/>
      <c r="JW15" s="256"/>
      <c r="JX15" s="256"/>
      <c r="JY15" s="256"/>
      <c r="JZ15" s="256"/>
      <c r="KA15" s="256"/>
      <c r="KB15" s="256"/>
      <c r="KC15" s="256"/>
      <c r="KD15" s="256"/>
      <c r="KE15" s="256"/>
      <c r="KF15" s="256"/>
      <c r="KG15" s="256"/>
      <c r="KH15" s="256"/>
      <c r="KI15" s="256"/>
      <c r="KJ15" s="256"/>
      <c r="KK15" s="256"/>
      <c r="KL15" s="256"/>
      <c r="KM15" s="256"/>
      <c r="KN15" s="256"/>
      <c r="KO15" s="256"/>
      <c r="KP15" s="256"/>
      <c r="KQ15" s="256"/>
      <c r="KR15" s="256"/>
      <c r="KS15" s="256"/>
      <c r="KT15" s="256"/>
      <c r="KU15" s="256"/>
      <c r="KV15" s="256"/>
      <c r="KW15" s="256"/>
      <c r="KX15" s="256"/>
      <c r="KY15" s="256"/>
      <c r="KZ15" s="256"/>
      <c r="LA15" s="256"/>
      <c r="LB15" s="256"/>
      <c r="LC15" s="256"/>
      <c r="LD15" s="256"/>
      <c r="LE15" s="256"/>
      <c r="LF15" s="256"/>
      <c r="LG15" s="256"/>
      <c r="LH15" s="256"/>
      <c r="LI15" s="256"/>
      <c r="LJ15" s="256"/>
      <c r="LK15" s="256"/>
      <c r="LL15" s="256"/>
      <c r="LM15" s="256"/>
      <c r="LN15" s="256"/>
      <c r="LO15" s="256"/>
      <c r="LP15" s="256"/>
      <c r="LQ15" s="256"/>
      <c r="LR15" s="256"/>
      <c r="LS15" s="256"/>
      <c r="LT15" s="256"/>
      <c r="LU15" s="256"/>
      <c r="LV15" s="256"/>
      <c r="LW15" s="256"/>
      <c r="LX15" s="256"/>
      <c r="LY15" s="256"/>
      <c r="LZ15" s="256"/>
      <c r="MA15" s="256"/>
      <c r="MB15" s="256"/>
      <c r="MC15" s="256"/>
      <c r="MD15" s="256"/>
      <c r="ME15" s="256"/>
      <c r="MF15" s="256"/>
      <c r="MG15" s="256"/>
      <c r="MH15" s="256"/>
      <c r="MI15" s="256"/>
      <c r="MJ15" s="256"/>
      <c r="MK15" s="256"/>
      <c r="ML15" s="256"/>
      <c r="MM15" s="256"/>
      <c r="MN15" s="256"/>
      <c r="MO15" s="256"/>
      <c r="MP15" s="256"/>
      <c r="MQ15" s="256"/>
      <c r="MR15" s="256"/>
      <c r="MS15" s="256"/>
      <c r="MT15" s="256"/>
      <c r="MU15" s="256"/>
      <c r="MV15" s="256"/>
      <c r="MW15" s="256"/>
      <c r="MX15" s="256"/>
      <c r="MY15" s="256"/>
      <c r="MZ15" s="256"/>
      <c r="NA15" s="256"/>
      <c r="NB15" s="256"/>
      <c r="NC15" s="256"/>
      <c r="ND15" s="256"/>
      <c r="NE15" s="256"/>
      <c r="NF15" s="256"/>
      <c r="NG15" s="256"/>
      <c r="NH15" s="256"/>
      <c r="NI15" s="256"/>
      <c r="NJ15" s="256"/>
      <c r="NK15" s="256"/>
      <c r="NL15" s="256"/>
      <c r="NM15" s="256"/>
      <c r="NN15" s="256"/>
      <c r="NO15" s="256"/>
      <c r="NP15" s="256"/>
      <c r="NQ15" s="256"/>
      <c r="NR15" s="256"/>
      <c r="NS15" s="256"/>
      <c r="NT15" s="256"/>
      <c r="NU15" s="256"/>
      <c r="NV15" s="256"/>
      <c r="NW15" s="256"/>
      <c r="NX15" s="256"/>
      <c r="NY15" s="256"/>
      <c r="NZ15" s="256"/>
      <c r="OA15" s="256"/>
      <c r="OB15" s="256"/>
      <c r="OC15" s="256"/>
      <c r="OD15" s="256"/>
      <c r="OE15" s="256"/>
      <c r="OF15" s="256"/>
      <c r="OG15" s="256"/>
      <c r="OH15" s="256"/>
      <c r="OI15" s="256"/>
      <c r="OJ15" s="256"/>
      <c r="OK15" s="256"/>
      <c r="OL15" s="256"/>
      <c r="OM15" s="256"/>
      <c r="ON15" s="256"/>
      <c r="OO15" s="256"/>
      <c r="OP15" s="256"/>
      <c r="OQ15" s="256"/>
      <c r="OR15" s="256"/>
      <c r="OS15" s="256"/>
      <c r="OT15" s="256"/>
      <c r="OU15" s="256"/>
      <c r="OV15" s="256"/>
      <c r="OW15" s="256"/>
      <c r="OX15" s="256"/>
      <c r="OY15" s="256"/>
      <c r="OZ15" s="256"/>
      <c r="PA15" s="256"/>
      <c r="PB15" s="256"/>
      <c r="PC15" s="256"/>
      <c r="PD15" s="256"/>
      <c r="PE15" s="256"/>
      <c r="PF15" s="256"/>
      <c r="PG15" s="256"/>
      <c r="PH15" s="256"/>
      <c r="PI15" s="256"/>
      <c r="PJ15" s="256"/>
      <c r="PK15" s="256"/>
      <c r="PL15" s="256"/>
      <c r="PM15" s="256"/>
      <c r="PN15" s="256"/>
      <c r="PO15" s="256"/>
      <c r="PP15" s="256"/>
      <c r="PQ15" s="256"/>
      <c r="PR15" s="256"/>
      <c r="PS15" s="256"/>
      <c r="PT15" s="256"/>
      <c r="PU15" s="256"/>
      <c r="PV15" s="256"/>
      <c r="PW15" s="256"/>
      <c r="PX15" s="256"/>
      <c r="PY15" s="256"/>
      <c r="PZ15" s="256"/>
      <c r="QA15" s="256"/>
      <c r="QB15" s="256"/>
      <c r="QC15" s="256"/>
      <c r="QD15" s="256"/>
      <c r="QE15" s="256"/>
      <c r="QF15" s="256"/>
      <c r="QG15" s="256"/>
      <c r="QH15" s="256"/>
    </row>
    <row r="16" spans="1:450" s="77" customFormat="1" x14ac:dyDescent="0.25">
      <c r="A16" s="81" t="s">
        <v>179</v>
      </c>
      <c r="B16" s="81" t="s">
        <v>223</v>
      </c>
      <c r="C16" s="81" t="s">
        <v>2</v>
      </c>
      <c r="D16" s="87">
        <v>2808</v>
      </c>
      <c r="E16" s="85">
        <v>0.75</v>
      </c>
      <c r="F16" s="169">
        <f>D16*E16</f>
        <v>2106</v>
      </c>
      <c r="G16" s="85">
        <v>0.25</v>
      </c>
      <c r="H16" s="86">
        <f>G16*D16</f>
        <v>702</v>
      </c>
      <c r="I16" s="82"/>
      <c r="J16" s="170">
        <f>F16*12</f>
        <v>25272</v>
      </c>
      <c r="K16" s="172">
        <f t="shared" si="3"/>
        <v>25272</v>
      </c>
      <c r="L16" s="285">
        <f t="shared" si="3"/>
        <v>25272</v>
      </c>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c r="EJ16" s="256"/>
      <c r="EK16" s="256"/>
      <c r="EL16" s="256"/>
      <c r="EM16" s="256"/>
      <c r="EN16" s="256"/>
      <c r="EO16" s="256"/>
      <c r="EP16" s="256"/>
      <c r="EQ16" s="256"/>
      <c r="ER16" s="256"/>
      <c r="ES16" s="256"/>
      <c r="ET16" s="256"/>
      <c r="EU16" s="256"/>
      <c r="EV16" s="256"/>
      <c r="EW16" s="256"/>
      <c r="EX16" s="256"/>
      <c r="EY16" s="256"/>
      <c r="EZ16" s="256"/>
      <c r="FA16" s="256"/>
      <c r="FB16" s="256"/>
      <c r="FC16" s="256"/>
      <c r="FD16" s="256"/>
      <c r="FE16" s="256"/>
      <c r="FF16" s="256"/>
      <c r="FG16" s="256"/>
      <c r="FH16" s="256"/>
      <c r="FI16" s="256"/>
      <c r="FJ16" s="256"/>
      <c r="FK16" s="256"/>
      <c r="FL16" s="256"/>
      <c r="FM16" s="256"/>
      <c r="FN16" s="256"/>
      <c r="FO16" s="256"/>
      <c r="FP16" s="256"/>
      <c r="FQ16" s="256"/>
      <c r="FR16" s="256"/>
      <c r="FS16" s="256"/>
      <c r="FT16" s="256"/>
      <c r="FU16" s="256"/>
      <c r="FV16" s="256"/>
      <c r="FW16" s="256"/>
      <c r="FX16" s="256"/>
      <c r="FY16" s="256"/>
      <c r="FZ16" s="256"/>
      <c r="GA16" s="256"/>
      <c r="GB16" s="256"/>
      <c r="GC16" s="256"/>
      <c r="GD16" s="256"/>
      <c r="GE16" s="256"/>
      <c r="GF16" s="256"/>
      <c r="GG16" s="256"/>
      <c r="GH16" s="256"/>
      <c r="GI16" s="256"/>
      <c r="GJ16" s="256"/>
      <c r="GK16" s="256"/>
      <c r="GL16" s="256"/>
      <c r="GM16" s="256"/>
      <c r="GN16" s="256"/>
      <c r="GO16" s="256"/>
      <c r="GP16" s="256"/>
      <c r="GQ16" s="256"/>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256"/>
      <c r="HU16" s="256"/>
      <c r="HV16" s="256"/>
      <c r="HW16" s="256"/>
      <c r="HX16" s="256"/>
      <c r="HY16" s="256"/>
      <c r="HZ16" s="256"/>
      <c r="IA16" s="256"/>
      <c r="IB16" s="256"/>
      <c r="IC16" s="256"/>
      <c r="ID16" s="256"/>
      <c r="IE16" s="256"/>
      <c r="IF16" s="256"/>
      <c r="IG16" s="256"/>
      <c r="IH16" s="256"/>
      <c r="II16" s="256"/>
      <c r="IJ16" s="256"/>
      <c r="IK16" s="256"/>
      <c r="IL16" s="256"/>
      <c r="IM16" s="256"/>
      <c r="IN16" s="256"/>
      <c r="IO16" s="256"/>
      <c r="IP16" s="256"/>
      <c r="IQ16" s="256"/>
      <c r="IR16" s="256"/>
      <c r="IS16" s="256"/>
      <c r="IT16" s="256"/>
      <c r="IU16" s="256"/>
      <c r="IV16" s="256"/>
      <c r="IW16" s="256"/>
      <c r="IX16" s="256"/>
      <c r="IY16" s="256"/>
      <c r="IZ16" s="256"/>
      <c r="JA16" s="256"/>
      <c r="JB16" s="256"/>
      <c r="JC16" s="256"/>
      <c r="JD16" s="256"/>
      <c r="JE16" s="256"/>
      <c r="JF16" s="256"/>
      <c r="JG16" s="256"/>
      <c r="JH16" s="256"/>
      <c r="JI16" s="256"/>
      <c r="JJ16" s="256"/>
      <c r="JK16" s="256"/>
      <c r="JL16" s="256"/>
      <c r="JM16" s="256"/>
      <c r="JN16" s="256"/>
      <c r="JO16" s="256"/>
      <c r="JP16" s="256"/>
      <c r="JQ16" s="256"/>
      <c r="JR16" s="256"/>
      <c r="JS16" s="256"/>
      <c r="JT16" s="256"/>
      <c r="JU16" s="256"/>
      <c r="JV16" s="256"/>
      <c r="JW16" s="256"/>
      <c r="JX16" s="256"/>
      <c r="JY16" s="256"/>
      <c r="JZ16" s="256"/>
      <c r="KA16" s="256"/>
      <c r="KB16" s="256"/>
      <c r="KC16" s="256"/>
      <c r="KD16" s="256"/>
      <c r="KE16" s="256"/>
      <c r="KF16" s="256"/>
      <c r="KG16" s="256"/>
      <c r="KH16" s="256"/>
      <c r="KI16" s="256"/>
      <c r="KJ16" s="256"/>
      <c r="KK16" s="256"/>
      <c r="KL16" s="256"/>
      <c r="KM16" s="256"/>
      <c r="KN16" s="256"/>
      <c r="KO16" s="256"/>
      <c r="KP16" s="256"/>
      <c r="KQ16" s="256"/>
      <c r="KR16" s="256"/>
      <c r="KS16" s="256"/>
      <c r="KT16" s="256"/>
      <c r="KU16" s="256"/>
      <c r="KV16" s="256"/>
      <c r="KW16" s="256"/>
      <c r="KX16" s="256"/>
      <c r="KY16" s="256"/>
      <c r="KZ16" s="256"/>
      <c r="LA16" s="256"/>
      <c r="LB16" s="256"/>
      <c r="LC16" s="256"/>
      <c r="LD16" s="256"/>
      <c r="LE16" s="256"/>
      <c r="LF16" s="256"/>
      <c r="LG16" s="256"/>
      <c r="LH16" s="256"/>
      <c r="LI16" s="256"/>
      <c r="LJ16" s="256"/>
      <c r="LK16" s="256"/>
      <c r="LL16" s="256"/>
      <c r="LM16" s="256"/>
      <c r="LN16" s="256"/>
      <c r="LO16" s="256"/>
      <c r="LP16" s="256"/>
      <c r="LQ16" s="256"/>
      <c r="LR16" s="256"/>
      <c r="LS16" s="256"/>
      <c r="LT16" s="256"/>
      <c r="LU16" s="256"/>
      <c r="LV16" s="256"/>
      <c r="LW16" s="256"/>
      <c r="LX16" s="256"/>
      <c r="LY16" s="256"/>
      <c r="LZ16" s="256"/>
      <c r="MA16" s="256"/>
      <c r="MB16" s="256"/>
      <c r="MC16" s="256"/>
      <c r="MD16" s="256"/>
      <c r="ME16" s="256"/>
      <c r="MF16" s="256"/>
      <c r="MG16" s="256"/>
      <c r="MH16" s="256"/>
      <c r="MI16" s="256"/>
      <c r="MJ16" s="256"/>
      <c r="MK16" s="256"/>
      <c r="ML16" s="256"/>
      <c r="MM16" s="256"/>
      <c r="MN16" s="256"/>
      <c r="MO16" s="256"/>
      <c r="MP16" s="256"/>
      <c r="MQ16" s="256"/>
      <c r="MR16" s="256"/>
      <c r="MS16" s="256"/>
      <c r="MT16" s="256"/>
      <c r="MU16" s="256"/>
      <c r="MV16" s="256"/>
      <c r="MW16" s="256"/>
      <c r="MX16" s="256"/>
      <c r="MY16" s="256"/>
      <c r="MZ16" s="256"/>
      <c r="NA16" s="256"/>
      <c r="NB16" s="256"/>
      <c r="NC16" s="256"/>
      <c r="ND16" s="256"/>
      <c r="NE16" s="256"/>
      <c r="NF16" s="256"/>
      <c r="NG16" s="256"/>
      <c r="NH16" s="256"/>
      <c r="NI16" s="256"/>
      <c r="NJ16" s="256"/>
      <c r="NK16" s="256"/>
      <c r="NL16" s="256"/>
      <c r="NM16" s="256"/>
      <c r="NN16" s="256"/>
      <c r="NO16" s="256"/>
      <c r="NP16" s="256"/>
      <c r="NQ16" s="256"/>
      <c r="NR16" s="256"/>
      <c r="NS16" s="256"/>
      <c r="NT16" s="256"/>
      <c r="NU16" s="256"/>
      <c r="NV16" s="256"/>
      <c r="NW16" s="256"/>
      <c r="NX16" s="256"/>
      <c r="NY16" s="256"/>
      <c r="NZ16" s="256"/>
      <c r="OA16" s="256"/>
      <c r="OB16" s="256"/>
      <c r="OC16" s="256"/>
      <c r="OD16" s="256"/>
      <c r="OE16" s="256"/>
      <c r="OF16" s="256"/>
      <c r="OG16" s="256"/>
      <c r="OH16" s="256"/>
      <c r="OI16" s="256"/>
      <c r="OJ16" s="256"/>
      <c r="OK16" s="256"/>
      <c r="OL16" s="256"/>
      <c r="OM16" s="256"/>
      <c r="ON16" s="256"/>
      <c r="OO16" s="256"/>
      <c r="OP16" s="256"/>
      <c r="OQ16" s="256"/>
      <c r="OR16" s="256"/>
      <c r="OS16" s="256"/>
      <c r="OT16" s="256"/>
      <c r="OU16" s="256"/>
      <c r="OV16" s="256"/>
      <c r="OW16" s="256"/>
      <c r="OX16" s="256"/>
      <c r="OY16" s="256"/>
      <c r="OZ16" s="256"/>
      <c r="PA16" s="256"/>
      <c r="PB16" s="256"/>
      <c r="PC16" s="256"/>
      <c r="PD16" s="256"/>
      <c r="PE16" s="256"/>
      <c r="PF16" s="256"/>
      <c r="PG16" s="256"/>
      <c r="PH16" s="256"/>
      <c r="PI16" s="256"/>
      <c r="PJ16" s="256"/>
      <c r="PK16" s="256"/>
      <c r="PL16" s="256"/>
      <c r="PM16" s="256"/>
      <c r="PN16" s="256"/>
      <c r="PO16" s="256"/>
      <c r="PP16" s="256"/>
      <c r="PQ16" s="256"/>
      <c r="PR16" s="256"/>
      <c r="PS16" s="256"/>
      <c r="PT16" s="256"/>
      <c r="PU16" s="256"/>
      <c r="PV16" s="256"/>
      <c r="PW16" s="256"/>
      <c r="PX16" s="256"/>
      <c r="PY16" s="256"/>
      <c r="PZ16" s="256"/>
      <c r="QA16" s="256"/>
      <c r="QB16" s="256"/>
      <c r="QC16" s="256"/>
      <c r="QD16" s="256"/>
      <c r="QE16" s="256"/>
      <c r="QF16" s="256"/>
      <c r="QG16" s="256"/>
      <c r="QH16" s="256"/>
    </row>
    <row r="17" spans="1:450" s="77" customFormat="1" x14ac:dyDescent="0.25">
      <c r="A17" s="81" t="s">
        <v>202</v>
      </c>
      <c r="B17" s="81" t="s">
        <v>234</v>
      </c>
      <c r="C17" s="81" t="s">
        <v>205</v>
      </c>
      <c r="D17" s="87">
        <v>1121</v>
      </c>
      <c r="E17" s="85">
        <v>0.75</v>
      </c>
      <c r="F17" s="169">
        <f>D17*E17</f>
        <v>840.75</v>
      </c>
      <c r="G17" s="85">
        <v>0.25</v>
      </c>
      <c r="H17" s="86">
        <f>G17*D17</f>
        <v>280.25</v>
      </c>
      <c r="I17" s="82"/>
      <c r="J17" s="170">
        <f>F17*12</f>
        <v>10089</v>
      </c>
      <c r="K17" s="172">
        <f t="shared" si="3"/>
        <v>10089</v>
      </c>
      <c r="L17" s="285">
        <f t="shared" si="3"/>
        <v>10089</v>
      </c>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c r="DJ17" s="256"/>
      <c r="DK17" s="256"/>
      <c r="DL17" s="256"/>
      <c r="DM17" s="256"/>
      <c r="DN17" s="256"/>
      <c r="DO17" s="256"/>
      <c r="DP17" s="256"/>
      <c r="DQ17" s="256"/>
      <c r="DR17" s="256"/>
      <c r="DS17" s="256"/>
      <c r="DT17" s="256"/>
      <c r="DU17" s="256"/>
      <c r="DV17" s="256"/>
      <c r="DW17" s="256"/>
      <c r="DX17" s="256"/>
      <c r="DY17" s="256"/>
      <c r="DZ17" s="256"/>
      <c r="EA17" s="256"/>
      <c r="EB17" s="256"/>
      <c r="EC17" s="256"/>
      <c r="ED17" s="256"/>
      <c r="EE17" s="256"/>
      <c r="EF17" s="256"/>
      <c r="EG17" s="256"/>
      <c r="EH17" s="256"/>
      <c r="EI17" s="256"/>
      <c r="EJ17" s="256"/>
      <c r="EK17" s="256"/>
      <c r="EL17" s="256"/>
      <c r="EM17" s="256"/>
      <c r="EN17" s="256"/>
      <c r="EO17" s="256"/>
      <c r="EP17" s="256"/>
      <c r="EQ17" s="256"/>
      <c r="ER17" s="256"/>
      <c r="ES17" s="256"/>
      <c r="ET17" s="256"/>
      <c r="EU17" s="256"/>
      <c r="EV17" s="256"/>
      <c r="EW17" s="256"/>
      <c r="EX17" s="256"/>
      <c r="EY17" s="256"/>
      <c r="EZ17" s="256"/>
      <c r="FA17" s="256"/>
      <c r="FB17" s="256"/>
      <c r="FC17" s="256"/>
      <c r="FD17" s="256"/>
      <c r="FE17" s="256"/>
      <c r="FF17" s="256"/>
      <c r="FG17" s="256"/>
      <c r="FH17" s="256"/>
      <c r="FI17" s="256"/>
      <c r="FJ17" s="256"/>
      <c r="FK17" s="256"/>
      <c r="FL17" s="256"/>
      <c r="FM17" s="256"/>
      <c r="FN17" s="256"/>
      <c r="FO17" s="256"/>
      <c r="FP17" s="256"/>
      <c r="FQ17" s="256"/>
      <c r="FR17" s="256"/>
      <c r="FS17" s="256"/>
      <c r="FT17" s="256"/>
      <c r="FU17" s="256"/>
      <c r="FV17" s="256"/>
      <c r="FW17" s="256"/>
      <c r="FX17" s="256"/>
      <c r="FY17" s="256"/>
      <c r="FZ17" s="256"/>
      <c r="GA17" s="256"/>
      <c r="GB17" s="256"/>
      <c r="GC17" s="256"/>
      <c r="GD17" s="256"/>
      <c r="GE17" s="256"/>
      <c r="GF17" s="256"/>
      <c r="GG17" s="256"/>
      <c r="GH17" s="256"/>
      <c r="GI17" s="256"/>
      <c r="GJ17" s="256"/>
      <c r="GK17" s="256"/>
      <c r="GL17" s="256"/>
      <c r="GM17" s="256"/>
      <c r="GN17" s="256"/>
      <c r="GO17" s="256"/>
      <c r="GP17" s="256"/>
      <c r="GQ17" s="256"/>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256"/>
      <c r="HU17" s="256"/>
      <c r="HV17" s="256"/>
      <c r="HW17" s="256"/>
      <c r="HX17" s="256"/>
      <c r="HY17" s="256"/>
      <c r="HZ17" s="256"/>
      <c r="IA17" s="256"/>
      <c r="IB17" s="256"/>
      <c r="IC17" s="256"/>
      <c r="ID17" s="256"/>
      <c r="IE17" s="256"/>
      <c r="IF17" s="256"/>
      <c r="IG17" s="256"/>
      <c r="IH17" s="256"/>
      <c r="II17" s="256"/>
      <c r="IJ17" s="256"/>
      <c r="IK17" s="256"/>
      <c r="IL17" s="256"/>
      <c r="IM17" s="256"/>
      <c r="IN17" s="256"/>
      <c r="IO17" s="256"/>
      <c r="IP17" s="256"/>
      <c r="IQ17" s="256"/>
      <c r="IR17" s="256"/>
      <c r="IS17" s="256"/>
      <c r="IT17" s="256"/>
      <c r="IU17" s="256"/>
      <c r="IV17" s="256"/>
      <c r="IW17" s="256"/>
      <c r="IX17" s="256"/>
      <c r="IY17" s="256"/>
      <c r="IZ17" s="256"/>
      <c r="JA17" s="256"/>
      <c r="JB17" s="256"/>
      <c r="JC17" s="256"/>
      <c r="JD17" s="256"/>
      <c r="JE17" s="256"/>
      <c r="JF17" s="256"/>
      <c r="JG17" s="256"/>
      <c r="JH17" s="256"/>
      <c r="JI17" s="256"/>
      <c r="JJ17" s="256"/>
      <c r="JK17" s="256"/>
      <c r="JL17" s="256"/>
      <c r="JM17" s="256"/>
      <c r="JN17" s="256"/>
      <c r="JO17" s="256"/>
      <c r="JP17" s="256"/>
      <c r="JQ17" s="256"/>
      <c r="JR17" s="256"/>
      <c r="JS17" s="256"/>
      <c r="JT17" s="256"/>
      <c r="JU17" s="256"/>
      <c r="JV17" s="256"/>
      <c r="JW17" s="256"/>
      <c r="JX17" s="256"/>
      <c r="JY17" s="256"/>
      <c r="JZ17" s="256"/>
      <c r="KA17" s="256"/>
      <c r="KB17" s="256"/>
      <c r="KC17" s="256"/>
      <c r="KD17" s="256"/>
      <c r="KE17" s="256"/>
      <c r="KF17" s="256"/>
      <c r="KG17" s="256"/>
      <c r="KH17" s="256"/>
      <c r="KI17" s="256"/>
      <c r="KJ17" s="256"/>
      <c r="KK17" s="256"/>
      <c r="KL17" s="256"/>
      <c r="KM17" s="256"/>
      <c r="KN17" s="256"/>
      <c r="KO17" s="256"/>
      <c r="KP17" s="256"/>
      <c r="KQ17" s="256"/>
      <c r="KR17" s="256"/>
      <c r="KS17" s="256"/>
      <c r="KT17" s="256"/>
      <c r="KU17" s="256"/>
      <c r="KV17" s="256"/>
      <c r="KW17" s="256"/>
      <c r="KX17" s="256"/>
      <c r="KY17" s="256"/>
      <c r="KZ17" s="256"/>
      <c r="LA17" s="256"/>
      <c r="LB17" s="256"/>
      <c r="LC17" s="256"/>
      <c r="LD17" s="256"/>
      <c r="LE17" s="256"/>
      <c r="LF17" s="256"/>
      <c r="LG17" s="256"/>
      <c r="LH17" s="256"/>
      <c r="LI17" s="256"/>
      <c r="LJ17" s="256"/>
      <c r="LK17" s="256"/>
      <c r="LL17" s="256"/>
      <c r="LM17" s="256"/>
      <c r="LN17" s="256"/>
      <c r="LO17" s="256"/>
      <c r="LP17" s="256"/>
      <c r="LQ17" s="256"/>
      <c r="LR17" s="256"/>
      <c r="LS17" s="256"/>
      <c r="LT17" s="256"/>
      <c r="LU17" s="256"/>
      <c r="LV17" s="256"/>
      <c r="LW17" s="256"/>
      <c r="LX17" s="256"/>
      <c r="LY17" s="256"/>
      <c r="LZ17" s="256"/>
      <c r="MA17" s="256"/>
      <c r="MB17" s="256"/>
      <c r="MC17" s="256"/>
      <c r="MD17" s="256"/>
      <c r="ME17" s="256"/>
      <c r="MF17" s="256"/>
      <c r="MG17" s="256"/>
      <c r="MH17" s="256"/>
      <c r="MI17" s="256"/>
      <c r="MJ17" s="256"/>
      <c r="MK17" s="256"/>
      <c r="ML17" s="256"/>
      <c r="MM17" s="256"/>
      <c r="MN17" s="256"/>
      <c r="MO17" s="256"/>
      <c r="MP17" s="256"/>
      <c r="MQ17" s="256"/>
      <c r="MR17" s="256"/>
      <c r="MS17" s="256"/>
      <c r="MT17" s="256"/>
      <c r="MU17" s="256"/>
      <c r="MV17" s="256"/>
      <c r="MW17" s="256"/>
      <c r="MX17" s="256"/>
      <c r="MY17" s="256"/>
      <c r="MZ17" s="256"/>
      <c r="NA17" s="256"/>
      <c r="NB17" s="256"/>
      <c r="NC17" s="256"/>
      <c r="ND17" s="256"/>
      <c r="NE17" s="256"/>
      <c r="NF17" s="256"/>
      <c r="NG17" s="256"/>
      <c r="NH17" s="256"/>
      <c r="NI17" s="256"/>
      <c r="NJ17" s="256"/>
      <c r="NK17" s="256"/>
      <c r="NL17" s="256"/>
      <c r="NM17" s="256"/>
      <c r="NN17" s="256"/>
      <c r="NO17" s="256"/>
      <c r="NP17" s="256"/>
      <c r="NQ17" s="256"/>
      <c r="NR17" s="256"/>
      <c r="NS17" s="256"/>
      <c r="NT17" s="256"/>
      <c r="NU17" s="256"/>
      <c r="NV17" s="256"/>
      <c r="NW17" s="256"/>
      <c r="NX17" s="256"/>
      <c r="NY17" s="256"/>
      <c r="NZ17" s="256"/>
      <c r="OA17" s="256"/>
      <c r="OB17" s="256"/>
      <c r="OC17" s="256"/>
      <c r="OD17" s="256"/>
      <c r="OE17" s="256"/>
      <c r="OF17" s="256"/>
      <c r="OG17" s="256"/>
      <c r="OH17" s="256"/>
      <c r="OI17" s="256"/>
      <c r="OJ17" s="256"/>
      <c r="OK17" s="256"/>
      <c r="OL17" s="256"/>
      <c r="OM17" s="256"/>
      <c r="ON17" s="256"/>
      <c r="OO17" s="256"/>
      <c r="OP17" s="256"/>
      <c r="OQ17" s="256"/>
      <c r="OR17" s="256"/>
      <c r="OS17" s="256"/>
      <c r="OT17" s="256"/>
      <c r="OU17" s="256"/>
      <c r="OV17" s="256"/>
      <c r="OW17" s="256"/>
      <c r="OX17" s="256"/>
      <c r="OY17" s="256"/>
      <c r="OZ17" s="256"/>
      <c r="PA17" s="256"/>
      <c r="PB17" s="256"/>
      <c r="PC17" s="256"/>
      <c r="PD17" s="256"/>
      <c r="PE17" s="256"/>
      <c r="PF17" s="256"/>
      <c r="PG17" s="256"/>
      <c r="PH17" s="256"/>
      <c r="PI17" s="256"/>
      <c r="PJ17" s="256"/>
      <c r="PK17" s="256"/>
      <c r="PL17" s="256"/>
      <c r="PM17" s="256"/>
      <c r="PN17" s="256"/>
      <c r="PO17" s="256"/>
      <c r="PP17" s="256"/>
      <c r="PQ17" s="256"/>
      <c r="PR17" s="256"/>
      <c r="PS17" s="256"/>
      <c r="PT17" s="256"/>
      <c r="PU17" s="256"/>
      <c r="PV17" s="256"/>
      <c r="PW17" s="256"/>
      <c r="PX17" s="256"/>
      <c r="PY17" s="256"/>
      <c r="PZ17" s="256"/>
      <c r="QA17" s="256"/>
      <c r="QB17" s="256"/>
      <c r="QC17" s="256"/>
      <c r="QD17" s="256"/>
      <c r="QE17" s="256"/>
      <c r="QF17" s="256"/>
      <c r="QG17" s="256"/>
      <c r="QH17" s="256"/>
    </row>
    <row r="18" spans="1:450" s="77" customFormat="1" ht="13.5" customHeight="1" x14ac:dyDescent="0.3">
      <c r="A18" s="178"/>
      <c r="B18" s="178"/>
      <c r="C18" s="84"/>
      <c r="D18" s="85"/>
      <c r="E18" s="178"/>
      <c r="F18" s="180"/>
      <c r="G18" s="178"/>
      <c r="H18" s="179"/>
      <c r="I18" s="82"/>
      <c r="K18" s="171"/>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56"/>
      <c r="DN18" s="256"/>
      <c r="DO18" s="256"/>
      <c r="DP18" s="256"/>
      <c r="DQ18" s="256"/>
      <c r="DR18" s="256"/>
      <c r="DS18" s="256"/>
      <c r="DT18" s="256"/>
      <c r="DU18" s="256"/>
      <c r="DV18" s="256"/>
      <c r="DW18" s="256"/>
      <c r="DX18" s="256"/>
      <c r="DY18" s="256"/>
      <c r="DZ18" s="256"/>
      <c r="EA18" s="256"/>
      <c r="EB18" s="256"/>
      <c r="EC18" s="256"/>
      <c r="ED18" s="256"/>
      <c r="EE18" s="256"/>
      <c r="EF18" s="256"/>
      <c r="EG18" s="256"/>
      <c r="EH18" s="256"/>
      <c r="EI18" s="256"/>
      <c r="EJ18" s="256"/>
      <c r="EK18" s="256"/>
      <c r="EL18" s="256"/>
      <c r="EM18" s="256"/>
      <c r="EN18" s="256"/>
      <c r="EO18" s="256"/>
      <c r="EP18" s="256"/>
      <c r="EQ18" s="256"/>
      <c r="ER18" s="256"/>
      <c r="ES18" s="256"/>
      <c r="ET18" s="256"/>
      <c r="EU18" s="256"/>
      <c r="EV18" s="256"/>
      <c r="EW18" s="256"/>
      <c r="EX18" s="256"/>
      <c r="EY18" s="256"/>
      <c r="EZ18" s="256"/>
      <c r="FA18" s="256"/>
      <c r="FB18" s="256"/>
      <c r="FC18" s="256"/>
      <c r="FD18" s="256"/>
      <c r="FE18" s="256"/>
      <c r="FF18" s="256"/>
      <c r="FG18" s="256"/>
      <c r="FH18" s="256"/>
      <c r="FI18" s="256"/>
      <c r="FJ18" s="256"/>
      <c r="FK18" s="256"/>
      <c r="FL18" s="256"/>
      <c r="FM18" s="256"/>
      <c r="FN18" s="256"/>
      <c r="FO18" s="256"/>
      <c r="FP18" s="256"/>
      <c r="FQ18" s="256"/>
      <c r="FR18" s="256"/>
      <c r="FS18" s="256"/>
      <c r="FT18" s="256"/>
      <c r="FU18" s="256"/>
      <c r="FV18" s="256"/>
      <c r="FW18" s="256"/>
      <c r="FX18" s="256"/>
      <c r="FY18" s="256"/>
      <c r="FZ18" s="256"/>
      <c r="GA18" s="256"/>
      <c r="GB18" s="256"/>
      <c r="GC18" s="256"/>
      <c r="GD18" s="256"/>
      <c r="GE18" s="256"/>
      <c r="GF18" s="256"/>
      <c r="GG18" s="256"/>
      <c r="GH18" s="256"/>
      <c r="GI18" s="256"/>
      <c r="GJ18" s="256"/>
      <c r="GK18" s="256"/>
      <c r="GL18" s="256"/>
      <c r="GM18" s="256"/>
      <c r="GN18" s="256"/>
      <c r="GO18" s="256"/>
      <c r="GP18" s="256"/>
      <c r="GQ18" s="256"/>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256"/>
      <c r="HU18" s="256"/>
      <c r="HV18" s="256"/>
      <c r="HW18" s="256"/>
      <c r="HX18" s="256"/>
      <c r="HY18" s="256"/>
      <c r="HZ18" s="256"/>
      <c r="IA18" s="256"/>
      <c r="IB18" s="256"/>
      <c r="IC18" s="256"/>
      <c r="ID18" s="256"/>
      <c r="IE18" s="256"/>
      <c r="IF18" s="256"/>
      <c r="IG18" s="256"/>
      <c r="IH18" s="256"/>
      <c r="II18" s="256"/>
      <c r="IJ18" s="256"/>
      <c r="IK18" s="256"/>
      <c r="IL18" s="256"/>
      <c r="IM18" s="256"/>
      <c r="IN18" s="256"/>
      <c r="IO18" s="256"/>
      <c r="IP18" s="256"/>
      <c r="IQ18" s="256"/>
      <c r="IR18" s="256"/>
      <c r="IS18" s="256"/>
      <c r="IT18" s="256"/>
      <c r="IU18" s="256"/>
      <c r="IV18" s="256"/>
      <c r="IW18" s="256"/>
      <c r="IX18" s="256"/>
      <c r="IY18" s="256"/>
      <c r="IZ18" s="256"/>
      <c r="JA18" s="256"/>
      <c r="JB18" s="256"/>
      <c r="JC18" s="256"/>
      <c r="JD18" s="256"/>
      <c r="JE18" s="256"/>
      <c r="JF18" s="256"/>
      <c r="JG18" s="256"/>
      <c r="JH18" s="256"/>
      <c r="JI18" s="256"/>
      <c r="JJ18" s="256"/>
      <c r="JK18" s="256"/>
      <c r="JL18" s="256"/>
      <c r="JM18" s="256"/>
      <c r="JN18" s="256"/>
      <c r="JO18" s="256"/>
      <c r="JP18" s="256"/>
      <c r="JQ18" s="256"/>
      <c r="JR18" s="256"/>
      <c r="JS18" s="256"/>
      <c r="JT18" s="256"/>
      <c r="JU18" s="256"/>
      <c r="JV18" s="256"/>
      <c r="JW18" s="256"/>
      <c r="JX18" s="256"/>
      <c r="JY18" s="256"/>
      <c r="JZ18" s="256"/>
      <c r="KA18" s="256"/>
      <c r="KB18" s="256"/>
      <c r="KC18" s="256"/>
      <c r="KD18" s="256"/>
      <c r="KE18" s="256"/>
      <c r="KF18" s="256"/>
      <c r="KG18" s="256"/>
      <c r="KH18" s="256"/>
      <c r="KI18" s="256"/>
      <c r="KJ18" s="256"/>
      <c r="KK18" s="256"/>
      <c r="KL18" s="256"/>
      <c r="KM18" s="256"/>
      <c r="KN18" s="256"/>
      <c r="KO18" s="256"/>
      <c r="KP18" s="256"/>
      <c r="KQ18" s="256"/>
      <c r="KR18" s="256"/>
      <c r="KS18" s="256"/>
      <c r="KT18" s="256"/>
      <c r="KU18" s="256"/>
      <c r="KV18" s="256"/>
      <c r="KW18" s="256"/>
      <c r="KX18" s="256"/>
      <c r="KY18" s="256"/>
      <c r="KZ18" s="256"/>
      <c r="LA18" s="256"/>
      <c r="LB18" s="256"/>
      <c r="LC18" s="256"/>
      <c r="LD18" s="256"/>
      <c r="LE18" s="256"/>
      <c r="LF18" s="256"/>
      <c r="LG18" s="256"/>
      <c r="LH18" s="256"/>
      <c r="LI18" s="256"/>
      <c r="LJ18" s="256"/>
      <c r="LK18" s="256"/>
      <c r="LL18" s="256"/>
      <c r="LM18" s="256"/>
      <c r="LN18" s="256"/>
      <c r="LO18" s="256"/>
      <c r="LP18" s="256"/>
      <c r="LQ18" s="256"/>
      <c r="LR18" s="256"/>
      <c r="LS18" s="256"/>
      <c r="LT18" s="256"/>
      <c r="LU18" s="256"/>
      <c r="LV18" s="256"/>
      <c r="LW18" s="256"/>
      <c r="LX18" s="256"/>
      <c r="LY18" s="256"/>
      <c r="LZ18" s="256"/>
      <c r="MA18" s="256"/>
      <c r="MB18" s="256"/>
      <c r="MC18" s="256"/>
      <c r="MD18" s="256"/>
      <c r="ME18" s="256"/>
      <c r="MF18" s="256"/>
      <c r="MG18" s="256"/>
      <c r="MH18" s="256"/>
      <c r="MI18" s="256"/>
      <c r="MJ18" s="256"/>
      <c r="MK18" s="256"/>
      <c r="ML18" s="256"/>
      <c r="MM18" s="256"/>
      <c r="MN18" s="256"/>
      <c r="MO18" s="256"/>
      <c r="MP18" s="256"/>
      <c r="MQ18" s="256"/>
      <c r="MR18" s="256"/>
      <c r="MS18" s="256"/>
      <c r="MT18" s="256"/>
      <c r="MU18" s="256"/>
      <c r="MV18" s="256"/>
      <c r="MW18" s="256"/>
      <c r="MX18" s="256"/>
      <c r="MY18" s="256"/>
      <c r="MZ18" s="256"/>
      <c r="NA18" s="256"/>
      <c r="NB18" s="256"/>
      <c r="NC18" s="256"/>
      <c r="ND18" s="256"/>
      <c r="NE18" s="256"/>
      <c r="NF18" s="256"/>
      <c r="NG18" s="256"/>
      <c r="NH18" s="256"/>
      <c r="NI18" s="256"/>
      <c r="NJ18" s="256"/>
      <c r="NK18" s="256"/>
      <c r="NL18" s="256"/>
      <c r="NM18" s="256"/>
      <c r="NN18" s="256"/>
      <c r="NO18" s="256"/>
      <c r="NP18" s="256"/>
      <c r="NQ18" s="256"/>
      <c r="NR18" s="256"/>
      <c r="NS18" s="256"/>
      <c r="NT18" s="256"/>
      <c r="NU18" s="256"/>
      <c r="NV18" s="256"/>
      <c r="NW18" s="256"/>
      <c r="NX18" s="256"/>
      <c r="NY18" s="256"/>
      <c r="NZ18" s="256"/>
      <c r="OA18" s="256"/>
      <c r="OB18" s="256"/>
      <c r="OC18" s="256"/>
      <c r="OD18" s="256"/>
      <c r="OE18" s="256"/>
      <c r="OF18" s="256"/>
      <c r="OG18" s="256"/>
      <c r="OH18" s="256"/>
      <c r="OI18" s="256"/>
      <c r="OJ18" s="256"/>
      <c r="OK18" s="256"/>
      <c r="OL18" s="256"/>
      <c r="OM18" s="256"/>
      <c r="ON18" s="256"/>
      <c r="OO18" s="256"/>
      <c r="OP18" s="256"/>
      <c r="OQ18" s="256"/>
      <c r="OR18" s="256"/>
      <c r="OS18" s="256"/>
      <c r="OT18" s="256"/>
      <c r="OU18" s="256"/>
      <c r="OV18" s="256"/>
      <c r="OW18" s="256"/>
      <c r="OX18" s="256"/>
      <c r="OY18" s="256"/>
      <c r="OZ18" s="256"/>
      <c r="PA18" s="256"/>
      <c r="PB18" s="256"/>
      <c r="PC18" s="256"/>
      <c r="PD18" s="256"/>
      <c r="PE18" s="256"/>
      <c r="PF18" s="256"/>
      <c r="PG18" s="256"/>
      <c r="PH18" s="256"/>
      <c r="PI18" s="256"/>
      <c r="PJ18" s="256"/>
      <c r="PK18" s="256"/>
      <c r="PL18" s="256"/>
      <c r="PM18" s="256"/>
      <c r="PN18" s="256"/>
      <c r="PO18" s="256"/>
      <c r="PP18" s="256"/>
      <c r="PQ18" s="256"/>
      <c r="PR18" s="256"/>
      <c r="PS18" s="256"/>
      <c r="PT18" s="256"/>
      <c r="PU18" s="256"/>
      <c r="PV18" s="256"/>
      <c r="PW18" s="256"/>
      <c r="PX18" s="256"/>
      <c r="PY18" s="256"/>
      <c r="PZ18" s="256"/>
      <c r="QA18" s="256"/>
      <c r="QB18" s="256"/>
      <c r="QC18" s="256"/>
      <c r="QD18" s="256"/>
      <c r="QE18" s="256"/>
      <c r="QF18" s="256"/>
      <c r="QG18" s="256"/>
      <c r="QH18" s="256"/>
    </row>
    <row r="19" spans="1:450" s="77" customFormat="1" x14ac:dyDescent="0.25">
      <c r="A19" s="81" t="s">
        <v>179</v>
      </c>
      <c r="B19" s="81" t="s">
        <v>226</v>
      </c>
      <c r="C19" s="81" t="s">
        <v>201</v>
      </c>
      <c r="D19" s="87">
        <v>2808</v>
      </c>
      <c r="E19" s="85">
        <v>0.75</v>
      </c>
      <c r="F19" s="169">
        <f t="shared" si="0"/>
        <v>2106</v>
      </c>
      <c r="G19" s="85">
        <v>0.25</v>
      </c>
      <c r="H19" s="86">
        <f t="shared" si="1"/>
        <v>702</v>
      </c>
      <c r="I19" s="82"/>
      <c r="J19" s="170">
        <f t="shared" si="2"/>
        <v>25272</v>
      </c>
      <c r="K19" s="172">
        <f>J19</f>
        <v>25272</v>
      </c>
      <c r="L19" s="285">
        <f>K19</f>
        <v>25272</v>
      </c>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56"/>
      <c r="DN19" s="256"/>
      <c r="DO19" s="256"/>
      <c r="DP19" s="256"/>
      <c r="DQ19" s="256"/>
      <c r="DR19" s="256"/>
      <c r="DS19" s="256"/>
      <c r="DT19" s="256"/>
      <c r="DU19" s="256"/>
      <c r="DV19" s="256"/>
      <c r="DW19" s="256"/>
      <c r="DX19" s="256"/>
      <c r="DY19" s="256"/>
      <c r="DZ19" s="256"/>
      <c r="EA19" s="256"/>
      <c r="EB19" s="256"/>
      <c r="EC19" s="256"/>
      <c r="ED19" s="256"/>
      <c r="EE19" s="256"/>
      <c r="EF19" s="256"/>
      <c r="EG19" s="256"/>
      <c r="EH19" s="256"/>
      <c r="EI19" s="256"/>
      <c r="EJ19" s="256"/>
      <c r="EK19" s="256"/>
      <c r="EL19" s="256"/>
      <c r="EM19" s="256"/>
      <c r="EN19" s="256"/>
      <c r="EO19" s="256"/>
      <c r="EP19" s="256"/>
      <c r="EQ19" s="256"/>
      <c r="ER19" s="256"/>
      <c r="ES19" s="256"/>
      <c r="ET19" s="256"/>
      <c r="EU19" s="256"/>
      <c r="EV19" s="256"/>
      <c r="EW19" s="256"/>
      <c r="EX19" s="256"/>
      <c r="EY19" s="256"/>
      <c r="EZ19" s="256"/>
      <c r="FA19" s="256"/>
      <c r="FB19" s="256"/>
      <c r="FC19" s="256"/>
      <c r="FD19" s="256"/>
      <c r="FE19" s="256"/>
      <c r="FF19" s="256"/>
      <c r="FG19" s="256"/>
      <c r="FH19" s="256"/>
      <c r="FI19" s="256"/>
      <c r="FJ19" s="256"/>
      <c r="FK19" s="256"/>
      <c r="FL19" s="256"/>
      <c r="FM19" s="256"/>
      <c r="FN19" s="256"/>
      <c r="FO19" s="256"/>
      <c r="FP19" s="256"/>
      <c r="FQ19" s="256"/>
      <c r="FR19" s="256"/>
      <c r="FS19" s="256"/>
      <c r="FT19" s="256"/>
      <c r="FU19" s="256"/>
      <c r="FV19" s="256"/>
      <c r="FW19" s="256"/>
      <c r="FX19" s="256"/>
      <c r="FY19" s="256"/>
      <c r="FZ19" s="256"/>
      <c r="GA19" s="256"/>
      <c r="GB19" s="256"/>
      <c r="GC19" s="256"/>
      <c r="GD19" s="256"/>
      <c r="GE19" s="256"/>
      <c r="GF19" s="256"/>
      <c r="GG19" s="256"/>
      <c r="GH19" s="256"/>
      <c r="GI19" s="256"/>
      <c r="GJ19" s="256"/>
      <c r="GK19" s="256"/>
      <c r="GL19" s="256"/>
      <c r="GM19" s="256"/>
      <c r="GN19" s="256"/>
      <c r="GO19" s="256"/>
      <c r="GP19" s="256"/>
      <c r="GQ19" s="256"/>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256"/>
      <c r="HU19" s="256"/>
      <c r="HV19" s="256"/>
      <c r="HW19" s="256"/>
      <c r="HX19" s="256"/>
      <c r="HY19" s="256"/>
      <c r="HZ19" s="256"/>
      <c r="IA19" s="256"/>
      <c r="IB19" s="256"/>
      <c r="IC19" s="256"/>
      <c r="ID19" s="256"/>
      <c r="IE19" s="256"/>
      <c r="IF19" s="256"/>
      <c r="IG19" s="256"/>
      <c r="IH19" s="256"/>
      <c r="II19" s="256"/>
      <c r="IJ19" s="256"/>
      <c r="IK19" s="256"/>
      <c r="IL19" s="256"/>
      <c r="IM19" s="256"/>
      <c r="IN19" s="256"/>
      <c r="IO19" s="256"/>
      <c r="IP19" s="256"/>
      <c r="IQ19" s="256"/>
      <c r="IR19" s="256"/>
      <c r="IS19" s="256"/>
      <c r="IT19" s="256"/>
      <c r="IU19" s="256"/>
      <c r="IV19" s="256"/>
      <c r="IW19" s="256"/>
      <c r="IX19" s="256"/>
      <c r="IY19" s="256"/>
      <c r="IZ19" s="256"/>
      <c r="JA19" s="256"/>
      <c r="JB19" s="256"/>
      <c r="JC19" s="256"/>
      <c r="JD19" s="256"/>
      <c r="JE19" s="256"/>
      <c r="JF19" s="256"/>
      <c r="JG19" s="256"/>
      <c r="JH19" s="256"/>
      <c r="JI19" s="256"/>
      <c r="JJ19" s="256"/>
      <c r="JK19" s="256"/>
      <c r="JL19" s="256"/>
      <c r="JM19" s="256"/>
      <c r="JN19" s="256"/>
      <c r="JO19" s="256"/>
      <c r="JP19" s="256"/>
      <c r="JQ19" s="256"/>
      <c r="JR19" s="256"/>
      <c r="JS19" s="256"/>
      <c r="JT19" s="256"/>
      <c r="JU19" s="256"/>
      <c r="JV19" s="256"/>
      <c r="JW19" s="256"/>
      <c r="JX19" s="256"/>
      <c r="JY19" s="256"/>
      <c r="JZ19" s="256"/>
      <c r="KA19" s="256"/>
      <c r="KB19" s="256"/>
      <c r="KC19" s="256"/>
      <c r="KD19" s="256"/>
      <c r="KE19" s="256"/>
      <c r="KF19" s="256"/>
      <c r="KG19" s="256"/>
      <c r="KH19" s="256"/>
      <c r="KI19" s="256"/>
      <c r="KJ19" s="256"/>
      <c r="KK19" s="256"/>
      <c r="KL19" s="256"/>
      <c r="KM19" s="256"/>
      <c r="KN19" s="256"/>
      <c r="KO19" s="256"/>
      <c r="KP19" s="256"/>
      <c r="KQ19" s="256"/>
      <c r="KR19" s="256"/>
      <c r="KS19" s="256"/>
      <c r="KT19" s="256"/>
      <c r="KU19" s="256"/>
      <c r="KV19" s="256"/>
      <c r="KW19" s="256"/>
      <c r="KX19" s="256"/>
      <c r="KY19" s="256"/>
      <c r="KZ19" s="256"/>
      <c r="LA19" s="256"/>
      <c r="LB19" s="256"/>
      <c r="LC19" s="256"/>
      <c r="LD19" s="256"/>
      <c r="LE19" s="256"/>
      <c r="LF19" s="256"/>
      <c r="LG19" s="256"/>
      <c r="LH19" s="256"/>
      <c r="LI19" s="256"/>
      <c r="LJ19" s="256"/>
      <c r="LK19" s="256"/>
      <c r="LL19" s="256"/>
      <c r="LM19" s="256"/>
      <c r="LN19" s="256"/>
      <c r="LO19" s="256"/>
      <c r="LP19" s="256"/>
      <c r="LQ19" s="256"/>
      <c r="LR19" s="256"/>
      <c r="LS19" s="256"/>
      <c r="LT19" s="256"/>
      <c r="LU19" s="256"/>
      <c r="LV19" s="256"/>
      <c r="LW19" s="256"/>
      <c r="LX19" s="256"/>
      <c r="LY19" s="256"/>
      <c r="LZ19" s="256"/>
      <c r="MA19" s="256"/>
      <c r="MB19" s="256"/>
      <c r="MC19" s="256"/>
      <c r="MD19" s="256"/>
      <c r="ME19" s="256"/>
      <c r="MF19" s="256"/>
      <c r="MG19" s="256"/>
      <c r="MH19" s="256"/>
      <c r="MI19" s="256"/>
      <c r="MJ19" s="256"/>
      <c r="MK19" s="256"/>
      <c r="ML19" s="256"/>
      <c r="MM19" s="256"/>
      <c r="MN19" s="256"/>
      <c r="MO19" s="256"/>
      <c r="MP19" s="256"/>
      <c r="MQ19" s="256"/>
      <c r="MR19" s="256"/>
      <c r="MS19" s="256"/>
      <c r="MT19" s="256"/>
      <c r="MU19" s="256"/>
      <c r="MV19" s="256"/>
      <c r="MW19" s="256"/>
      <c r="MX19" s="256"/>
      <c r="MY19" s="256"/>
      <c r="MZ19" s="256"/>
      <c r="NA19" s="256"/>
      <c r="NB19" s="256"/>
      <c r="NC19" s="256"/>
      <c r="ND19" s="256"/>
      <c r="NE19" s="256"/>
      <c r="NF19" s="256"/>
      <c r="NG19" s="256"/>
      <c r="NH19" s="256"/>
      <c r="NI19" s="256"/>
      <c r="NJ19" s="256"/>
      <c r="NK19" s="256"/>
      <c r="NL19" s="256"/>
      <c r="NM19" s="256"/>
      <c r="NN19" s="256"/>
      <c r="NO19" s="256"/>
      <c r="NP19" s="256"/>
      <c r="NQ19" s="256"/>
      <c r="NR19" s="256"/>
      <c r="NS19" s="256"/>
      <c r="NT19" s="256"/>
      <c r="NU19" s="256"/>
      <c r="NV19" s="256"/>
      <c r="NW19" s="256"/>
      <c r="NX19" s="256"/>
      <c r="NY19" s="256"/>
      <c r="NZ19" s="256"/>
      <c r="OA19" s="256"/>
      <c r="OB19" s="256"/>
      <c r="OC19" s="256"/>
      <c r="OD19" s="256"/>
      <c r="OE19" s="256"/>
      <c r="OF19" s="256"/>
      <c r="OG19" s="256"/>
      <c r="OH19" s="256"/>
      <c r="OI19" s="256"/>
      <c r="OJ19" s="256"/>
      <c r="OK19" s="256"/>
      <c r="OL19" s="256"/>
      <c r="OM19" s="256"/>
      <c r="ON19" s="256"/>
      <c r="OO19" s="256"/>
      <c r="OP19" s="256"/>
      <c r="OQ19" s="256"/>
      <c r="OR19" s="256"/>
      <c r="OS19" s="256"/>
      <c r="OT19" s="256"/>
      <c r="OU19" s="256"/>
      <c r="OV19" s="256"/>
      <c r="OW19" s="256"/>
      <c r="OX19" s="256"/>
      <c r="OY19" s="256"/>
      <c r="OZ19" s="256"/>
      <c r="PA19" s="256"/>
      <c r="PB19" s="256"/>
      <c r="PC19" s="256"/>
      <c r="PD19" s="256"/>
      <c r="PE19" s="256"/>
      <c r="PF19" s="256"/>
      <c r="PG19" s="256"/>
      <c r="PH19" s="256"/>
      <c r="PI19" s="256"/>
      <c r="PJ19" s="256"/>
      <c r="PK19" s="256"/>
      <c r="PL19" s="256"/>
      <c r="PM19" s="256"/>
      <c r="PN19" s="256"/>
      <c r="PO19" s="256"/>
      <c r="PP19" s="256"/>
      <c r="PQ19" s="256"/>
      <c r="PR19" s="256"/>
      <c r="PS19" s="256"/>
      <c r="PT19" s="256"/>
      <c r="PU19" s="256"/>
      <c r="PV19" s="256"/>
      <c r="PW19" s="256"/>
      <c r="PX19" s="256"/>
      <c r="PY19" s="256"/>
      <c r="PZ19" s="256"/>
      <c r="QA19" s="256"/>
      <c r="QB19" s="256"/>
      <c r="QC19" s="256"/>
      <c r="QD19" s="256"/>
      <c r="QE19" s="256"/>
      <c r="QF19" s="256"/>
      <c r="QG19" s="256"/>
      <c r="QH19" s="256"/>
    </row>
    <row r="20" spans="1:450" s="255" customFormat="1" x14ac:dyDescent="0.25">
      <c r="A20" s="249" t="s">
        <v>179</v>
      </c>
      <c r="B20" s="249" t="s">
        <v>250</v>
      </c>
      <c r="C20" s="249" t="s">
        <v>251</v>
      </c>
      <c r="D20" s="250">
        <v>2808</v>
      </c>
      <c r="E20" s="251">
        <v>0.75</v>
      </c>
      <c r="F20" s="250">
        <f t="shared" si="0"/>
        <v>2106</v>
      </c>
      <c r="G20" s="251">
        <v>0.25</v>
      </c>
      <c r="H20" s="250">
        <f t="shared" si="1"/>
        <v>702</v>
      </c>
      <c r="I20" s="252"/>
      <c r="J20" s="253">
        <f t="shared" si="2"/>
        <v>25272</v>
      </c>
      <c r="K20" s="254"/>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56"/>
      <c r="DN20" s="256"/>
      <c r="DO20" s="256"/>
      <c r="DP20" s="256"/>
      <c r="DQ20" s="256"/>
      <c r="DR20" s="256"/>
      <c r="DS20" s="256"/>
      <c r="DT20" s="256"/>
      <c r="DU20" s="256"/>
      <c r="DV20" s="256"/>
      <c r="DW20" s="256"/>
      <c r="DX20" s="256"/>
      <c r="DY20" s="256"/>
      <c r="DZ20" s="256"/>
      <c r="EA20" s="256"/>
      <c r="EB20" s="256"/>
      <c r="EC20" s="256"/>
      <c r="ED20" s="256"/>
      <c r="EE20" s="256"/>
      <c r="EF20" s="256"/>
      <c r="EG20" s="256"/>
      <c r="EH20" s="256"/>
      <c r="EI20" s="256"/>
      <c r="EJ20" s="256"/>
      <c r="EK20" s="256"/>
      <c r="EL20" s="256"/>
      <c r="EM20" s="256"/>
      <c r="EN20" s="256"/>
      <c r="EO20" s="256"/>
      <c r="EP20" s="256"/>
      <c r="EQ20" s="256"/>
      <c r="ER20" s="256"/>
      <c r="ES20" s="256"/>
      <c r="ET20" s="256"/>
      <c r="EU20" s="256"/>
      <c r="EV20" s="256"/>
      <c r="EW20" s="256"/>
      <c r="EX20" s="256"/>
      <c r="EY20" s="256"/>
      <c r="EZ20" s="256"/>
      <c r="FA20" s="256"/>
      <c r="FB20" s="256"/>
      <c r="FC20" s="256"/>
      <c r="FD20" s="256"/>
      <c r="FE20" s="256"/>
      <c r="FF20" s="256"/>
      <c r="FG20" s="256"/>
      <c r="FH20" s="256"/>
      <c r="FI20" s="256"/>
      <c r="FJ20" s="256"/>
      <c r="FK20" s="256"/>
      <c r="FL20" s="256"/>
      <c r="FM20" s="256"/>
      <c r="FN20" s="256"/>
      <c r="FO20" s="256"/>
      <c r="FP20" s="256"/>
      <c r="FQ20" s="256"/>
      <c r="FR20" s="256"/>
      <c r="FS20" s="256"/>
      <c r="FT20" s="256"/>
      <c r="FU20" s="256"/>
      <c r="FV20" s="256"/>
      <c r="FW20" s="256"/>
      <c r="FX20" s="256"/>
      <c r="FY20" s="256"/>
      <c r="FZ20" s="256"/>
      <c r="GA20" s="256"/>
      <c r="GB20" s="256"/>
      <c r="GC20" s="256"/>
      <c r="GD20" s="256"/>
      <c r="GE20" s="256"/>
      <c r="GF20" s="256"/>
      <c r="GG20" s="256"/>
      <c r="GH20" s="256"/>
      <c r="GI20" s="256"/>
      <c r="GJ20" s="256"/>
      <c r="GK20" s="256"/>
      <c r="GL20" s="256"/>
      <c r="GM20" s="256"/>
      <c r="GN20" s="256"/>
      <c r="GO20" s="256"/>
      <c r="GP20" s="256"/>
      <c r="GQ20" s="256"/>
      <c r="GR20" s="256"/>
      <c r="GS20" s="256"/>
      <c r="GT20" s="256"/>
      <c r="GU20" s="256"/>
      <c r="GV20" s="256"/>
      <c r="GW20" s="256"/>
      <c r="GX20" s="256"/>
      <c r="GY20" s="256"/>
      <c r="GZ20" s="256"/>
      <c r="HA20" s="256"/>
      <c r="HB20" s="256"/>
      <c r="HC20" s="256"/>
      <c r="HD20" s="256"/>
      <c r="HE20" s="256"/>
      <c r="HF20" s="256"/>
      <c r="HG20" s="256"/>
      <c r="HH20" s="256"/>
      <c r="HI20" s="256"/>
      <c r="HJ20" s="256"/>
      <c r="HK20" s="256"/>
      <c r="HL20" s="256"/>
      <c r="HM20" s="256"/>
      <c r="HN20" s="256"/>
      <c r="HO20" s="256"/>
      <c r="HP20" s="256"/>
      <c r="HQ20" s="256"/>
      <c r="HR20" s="256"/>
      <c r="HS20" s="256"/>
      <c r="HT20" s="256"/>
      <c r="HU20" s="256"/>
      <c r="HV20" s="256"/>
      <c r="HW20" s="256"/>
      <c r="HX20" s="256"/>
      <c r="HY20" s="256"/>
      <c r="HZ20" s="256"/>
      <c r="IA20" s="256"/>
      <c r="IB20" s="256"/>
      <c r="IC20" s="256"/>
      <c r="ID20" s="256"/>
      <c r="IE20" s="256"/>
      <c r="IF20" s="256"/>
      <c r="IG20" s="256"/>
      <c r="IH20" s="256"/>
      <c r="II20" s="256"/>
      <c r="IJ20" s="256"/>
      <c r="IK20" s="256"/>
      <c r="IL20" s="256"/>
      <c r="IM20" s="256"/>
      <c r="IN20" s="256"/>
      <c r="IO20" s="256"/>
      <c r="IP20" s="256"/>
      <c r="IQ20" s="256"/>
      <c r="IR20" s="256"/>
      <c r="IS20" s="256"/>
      <c r="IT20" s="256"/>
      <c r="IU20" s="256"/>
      <c r="IV20" s="256"/>
      <c r="IW20" s="256"/>
      <c r="IX20" s="256"/>
      <c r="IY20" s="256"/>
      <c r="IZ20" s="256"/>
      <c r="JA20" s="256"/>
      <c r="JB20" s="256"/>
      <c r="JC20" s="256"/>
      <c r="JD20" s="256"/>
      <c r="JE20" s="256"/>
      <c r="JF20" s="256"/>
      <c r="JG20" s="256"/>
      <c r="JH20" s="256"/>
      <c r="JI20" s="256"/>
      <c r="JJ20" s="256"/>
      <c r="JK20" s="256"/>
      <c r="JL20" s="256"/>
      <c r="JM20" s="256"/>
      <c r="JN20" s="256"/>
      <c r="JO20" s="256"/>
      <c r="JP20" s="256"/>
      <c r="JQ20" s="256"/>
      <c r="JR20" s="256"/>
      <c r="JS20" s="256"/>
      <c r="JT20" s="256"/>
      <c r="JU20" s="256"/>
      <c r="JV20" s="256"/>
      <c r="JW20" s="256"/>
      <c r="JX20" s="256"/>
      <c r="JY20" s="256"/>
      <c r="JZ20" s="256"/>
      <c r="KA20" s="256"/>
      <c r="KB20" s="256"/>
      <c r="KC20" s="256"/>
      <c r="KD20" s="256"/>
      <c r="KE20" s="256"/>
      <c r="KF20" s="256"/>
      <c r="KG20" s="256"/>
      <c r="KH20" s="256"/>
      <c r="KI20" s="256"/>
      <c r="KJ20" s="256"/>
      <c r="KK20" s="256"/>
      <c r="KL20" s="256"/>
      <c r="KM20" s="256"/>
      <c r="KN20" s="256"/>
      <c r="KO20" s="256"/>
      <c r="KP20" s="256"/>
      <c r="KQ20" s="256"/>
      <c r="KR20" s="256"/>
      <c r="KS20" s="256"/>
      <c r="KT20" s="256"/>
      <c r="KU20" s="256"/>
      <c r="KV20" s="256"/>
      <c r="KW20" s="256"/>
      <c r="KX20" s="256"/>
      <c r="KY20" s="256"/>
      <c r="KZ20" s="256"/>
      <c r="LA20" s="256"/>
      <c r="LB20" s="256"/>
      <c r="LC20" s="256"/>
      <c r="LD20" s="256"/>
      <c r="LE20" s="256"/>
      <c r="LF20" s="256"/>
      <c r="LG20" s="256"/>
      <c r="LH20" s="256"/>
      <c r="LI20" s="256"/>
      <c r="LJ20" s="256"/>
      <c r="LK20" s="256"/>
      <c r="LL20" s="256"/>
      <c r="LM20" s="256"/>
      <c r="LN20" s="256"/>
      <c r="LO20" s="256"/>
      <c r="LP20" s="256"/>
      <c r="LQ20" s="256"/>
      <c r="LR20" s="256"/>
      <c r="LS20" s="256"/>
      <c r="LT20" s="256"/>
      <c r="LU20" s="256"/>
      <c r="LV20" s="256"/>
      <c r="LW20" s="256"/>
      <c r="LX20" s="256"/>
      <c r="LY20" s="256"/>
      <c r="LZ20" s="256"/>
      <c r="MA20" s="256"/>
      <c r="MB20" s="256"/>
      <c r="MC20" s="256"/>
      <c r="MD20" s="256"/>
      <c r="ME20" s="256"/>
      <c r="MF20" s="256"/>
      <c r="MG20" s="256"/>
      <c r="MH20" s="256"/>
      <c r="MI20" s="256"/>
      <c r="MJ20" s="256"/>
      <c r="MK20" s="256"/>
      <c r="ML20" s="256"/>
      <c r="MM20" s="256"/>
      <c r="MN20" s="256"/>
      <c r="MO20" s="256"/>
      <c r="MP20" s="256"/>
      <c r="MQ20" s="256"/>
      <c r="MR20" s="256"/>
      <c r="MS20" s="256"/>
      <c r="MT20" s="256"/>
      <c r="MU20" s="256"/>
      <c r="MV20" s="256"/>
      <c r="MW20" s="256"/>
      <c r="MX20" s="256"/>
      <c r="MY20" s="256"/>
      <c r="MZ20" s="256"/>
      <c r="NA20" s="256"/>
      <c r="NB20" s="256"/>
      <c r="NC20" s="256"/>
      <c r="ND20" s="256"/>
      <c r="NE20" s="256"/>
      <c r="NF20" s="256"/>
      <c r="NG20" s="256"/>
      <c r="NH20" s="256"/>
      <c r="NI20" s="256"/>
      <c r="NJ20" s="256"/>
      <c r="NK20" s="256"/>
      <c r="NL20" s="256"/>
      <c r="NM20" s="256"/>
      <c r="NN20" s="256"/>
      <c r="NO20" s="256"/>
      <c r="NP20" s="256"/>
      <c r="NQ20" s="256"/>
      <c r="NR20" s="256"/>
      <c r="NS20" s="256"/>
      <c r="NT20" s="256"/>
      <c r="NU20" s="256"/>
      <c r="NV20" s="256"/>
      <c r="NW20" s="256"/>
      <c r="NX20" s="256"/>
      <c r="NY20" s="256"/>
      <c r="NZ20" s="256"/>
      <c r="OA20" s="256"/>
      <c r="OB20" s="256"/>
      <c r="OC20" s="256"/>
      <c r="OD20" s="256"/>
      <c r="OE20" s="256"/>
      <c r="OF20" s="256"/>
      <c r="OG20" s="256"/>
      <c r="OH20" s="256"/>
      <c r="OI20" s="256"/>
      <c r="OJ20" s="256"/>
      <c r="OK20" s="256"/>
      <c r="OL20" s="256"/>
      <c r="OM20" s="256"/>
      <c r="ON20" s="256"/>
      <c r="OO20" s="256"/>
      <c r="OP20" s="256"/>
      <c r="OQ20" s="256"/>
      <c r="OR20" s="256"/>
      <c r="OS20" s="256"/>
      <c r="OT20" s="256"/>
      <c r="OU20" s="256"/>
      <c r="OV20" s="256"/>
      <c r="OW20" s="256"/>
      <c r="OX20" s="256"/>
      <c r="OY20" s="256"/>
      <c r="OZ20" s="256"/>
      <c r="PA20" s="256"/>
      <c r="PB20" s="256"/>
      <c r="PC20" s="256"/>
      <c r="PD20" s="256"/>
      <c r="PE20" s="256"/>
      <c r="PF20" s="256"/>
      <c r="PG20" s="256"/>
      <c r="PH20" s="256"/>
      <c r="PI20" s="256"/>
      <c r="PJ20" s="256"/>
      <c r="PK20" s="256"/>
      <c r="PL20" s="256"/>
      <c r="PM20" s="256"/>
      <c r="PN20" s="256"/>
      <c r="PO20" s="256"/>
      <c r="PP20" s="256"/>
      <c r="PQ20" s="256"/>
      <c r="PR20" s="256"/>
      <c r="PS20" s="256"/>
      <c r="PT20" s="256"/>
      <c r="PU20" s="256"/>
      <c r="PV20" s="256"/>
      <c r="PW20" s="256"/>
      <c r="PX20" s="256"/>
      <c r="PY20" s="256"/>
      <c r="PZ20" s="256"/>
      <c r="QA20" s="256"/>
      <c r="QB20" s="256"/>
      <c r="QC20" s="256"/>
      <c r="QD20" s="256"/>
      <c r="QE20" s="256"/>
      <c r="QF20" s="256"/>
      <c r="QG20" s="256"/>
      <c r="QH20" s="256"/>
    </row>
    <row r="21" spans="1:450" s="255" customFormat="1" x14ac:dyDescent="0.25">
      <c r="A21" s="249" t="s">
        <v>179</v>
      </c>
      <c r="B21" s="249" t="s">
        <v>236</v>
      </c>
      <c r="C21" s="249" t="s">
        <v>251</v>
      </c>
      <c r="D21" s="250">
        <v>2808</v>
      </c>
      <c r="E21" s="251">
        <v>0.75</v>
      </c>
      <c r="F21" s="250">
        <f t="shared" si="0"/>
        <v>2106</v>
      </c>
      <c r="G21" s="251">
        <v>0.25</v>
      </c>
      <c r="H21" s="250">
        <f t="shared" si="1"/>
        <v>702</v>
      </c>
      <c r="I21" s="252"/>
      <c r="J21" s="253">
        <f t="shared" si="2"/>
        <v>25272</v>
      </c>
      <c r="K21" s="254"/>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56"/>
      <c r="DN21" s="256"/>
      <c r="DO21" s="256"/>
      <c r="DP21" s="256"/>
      <c r="DQ21" s="256"/>
      <c r="DR21" s="256"/>
      <c r="DS21" s="256"/>
      <c r="DT21" s="256"/>
      <c r="DU21" s="256"/>
      <c r="DV21" s="256"/>
      <c r="DW21" s="256"/>
      <c r="DX21" s="256"/>
      <c r="DY21" s="256"/>
      <c r="DZ21" s="256"/>
      <c r="EA21" s="256"/>
      <c r="EB21" s="256"/>
      <c r="EC21" s="256"/>
      <c r="ED21" s="256"/>
      <c r="EE21" s="256"/>
      <c r="EF21" s="256"/>
      <c r="EG21" s="256"/>
      <c r="EH21" s="256"/>
      <c r="EI21" s="256"/>
      <c r="EJ21" s="256"/>
      <c r="EK21" s="256"/>
      <c r="EL21" s="256"/>
      <c r="EM21" s="256"/>
      <c r="EN21" s="256"/>
      <c r="EO21" s="256"/>
      <c r="EP21" s="256"/>
      <c r="EQ21" s="256"/>
      <c r="ER21" s="256"/>
      <c r="ES21" s="256"/>
      <c r="ET21" s="256"/>
      <c r="EU21" s="256"/>
      <c r="EV21" s="256"/>
      <c r="EW21" s="256"/>
      <c r="EX21" s="256"/>
      <c r="EY21" s="256"/>
      <c r="EZ21" s="256"/>
      <c r="FA21" s="256"/>
      <c r="FB21" s="256"/>
      <c r="FC21" s="256"/>
      <c r="FD21" s="256"/>
      <c r="FE21" s="256"/>
      <c r="FF21" s="256"/>
      <c r="FG21" s="256"/>
      <c r="FH21" s="256"/>
      <c r="FI21" s="256"/>
      <c r="FJ21" s="256"/>
      <c r="FK21" s="256"/>
      <c r="FL21" s="256"/>
      <c r="FM21" s="256"/>
      <c r="FN21" s="256"/>
      <c r="FO21" s="256"/>
      <c r="FP21" s="256"/>
      <c r="FQ21" s="256"/>
      <c r="FR21" s="256"/>
      <c r="FS21" s="256"/>
      <c r="FT21" s="256"/>
      <c r="FU21" s="256"/>
      <c r="FV21" s="256"/>
      <c r="FW21" s="256"/>
      <c r="FX21" s="256"/>
      <c r="FY21" s="256"/>
      <c r="FZ21" s="256"/>
      <c r="GA21" s="256"/>
      <c r="GB21" s="256"/>
      <c r="GC21" s="256"/>
      <c r="GD21" s="256"/>
      <c r="GE21" s="256"/>
      <c r="GF21" s="256"/>
      <c r="GG21" s="256"/>
      <c r="GH21" s="256"/>
      <c r="GI21" s="256"/>
      <c r="GJ21" s="256"/>
      <c r="GK21" s="256"/>
      <c r="GL21" s="256"/>
      <c r="GM21" s="256"/>
      <c r="GN21" s="256"/>
      <c r="GO21" s="256"/>
      <c r="GP21" s="256"/>
      <c r="GQ21" s="256"/>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256"/>
      <c r="HU21" s="256"/>
      <c r="HV21" s="256"/>
      <c r="HW21" s="256"/>
      <c r="HX21" s="256"/>
      <c r="HY21" s="256"/>
      <c r="HZ21" s="256"/>
      <c r="IA21" s="256"/>
      <c r="IB21" s="256"/>
      <c r="IC21" s="256"/>
      <c r="ID21" s="256"/>
      <c r="IE21" s="256"/>
      <c r="IF21" s="256"/>
      <c r="IG21" s="256"/>
      <c r="IH21" s="256"/>
      <c r="II21" s="256"/>
      <c r="IJ21" s="256"/>
      <c r="IK21" s="256"/>
      <c r="IL21" s="256"/>
      <c r="IM21" s="256"/>
      <c r="IN21" s="256"/>
      <c r="IO21" s="256"/>
      <c r="IP21" s="256"/>
      <c r="IQ21" s="256"/>
      <c r="IR21" s="256"/>
      <c r="IS21" s="256"/>
      <c r="IT21" s="256"/>
      <c r="IU21" s="256"/>
      <c r="IV21" s="256"/>
      <c r="IW21" s="256"/>
      <c r="IX21" s="256"/>
      <c r="IY21" s="256"/>
      <c r="IZ21" s="256"/>
      <c r="JA21" s="256"/>
      <c r="JB21" s="256"/>
      <c r="JC21" s="256"/>
      <c r="JD21" s="256"/>
      <c r="JE21" s="256"/>
      <c r="JF21" s="256"/>
      <c r="JG21" s="256"/>
      <c r="JH21" s="256"/>
      <c r="JI21" s="256"/>
      <c r="JJ21" s="256"/>
      <c r="JK21" s="256"/>
      <c r="JL21" s="256"/>
      <c r="JM21" s="256"/>
      <c r="JN21" s="256"/>
      <c r="JO21" s="256"/>
      <c r="JP21" s="256"/>
      <c r="JQ21" s="256"/>
      <c r="JR21" s="256"/>
      <c r="JS21" s="256"/>
      <c r="JT21" s="256"/>
      <c r="JU21" s="256"/>
      <c r="JV21" s="256"/>
      <c r="JW21" s="256"/>
      <c r="JX21" s="256"/>
      <c r="JY21" s="256"/>
      <c r="JZ21" s="256"/>
      <c r="KA21" s="256"/>
      <c r="KB21" s="256"/>
      <c r="KC21" s="256"/>
      <c r="KD21" s="256"/>
      <c r="KE21" s="256"/>
      <c r="KF21" s="256"/>
      <c r="KG21" s="256"/>
      <c r="KH21" s="256"/>
      <c r="KI21" s="256"/>
      <c r="KJ21" s="256"/>
      <c r="KK21" s="256"/>
      <c r="KL21" s="256"/>
      <c r="KM21" s="256"/>
      <c r="KN21" s="256"/>
      <c r="KO21" s="256"/>
      <c r="KP21" s="256"/>
      <c r="KQ21" s="256"/>
      <c r="KR21" s="256"/>
      <c r="KS21" s="256"/>
      <c r="KT21" s="256"/>
      <c r="KU21" s="256"/>
      <c r="KV21" s="256"/>
      <c r="KW21" s="256"/>
      <c r="KX21" s="256"/>
      <c r="KY21" s="256"/>
      <c r="KZ21" s="256"/>
      <c r="LA21" s="256"/>
      <c r="LB21" s="256"/>
      <c r="LC21" s="256"/>
      <c r="LD21" s="256"/>
      <c r="LE21" s="256"/>
      <c r="LF21" s="256"/>
      <c r="LG21" s="256"/>
      <c r="LH21" s="256"/>
      <c r="LI21" s="256"/>
      <c r="LJ21" s="256"/>
      <c r="LK21" s="256"/>
      <c r="LL21" s="256"/>
      <c r="LM21" s="256"/>
      <c r="LN21" s="256"/>
      <c r="LO21" s="256"/>
      <c r="LP21" s="256"/>
      <c r="LQ21" s="256"/>
      <c r="LR21" s="256"/>
      <c r="LS21" s="256"/>
      <c r="LT21" s="256"/>
      <c r="LU21" s="256"/>
      <c r="LV21" s="256"/>
      <c r="LW21" s="256"/>
      <c r="LX21" s="256"/>
      <c r="LY21" s="256"/>
      <c r="LZ21" s="256"/>
      <c r="MA21" s="256"/>
      <c r="MB21" s="256"/>
      <c r="MC21" s="256"/>
      <c r="MD21" s="256"/>
      <c r="ME21" s="256"/>
      <c r="MF21" s="256"/>
      <c r="MG21" s="256"/>
      <c r="MH21" s="256"/>
      <c r="MI21" s="256"/>
      <c r="MJ21" s="256"/>
      <c r="MK21" s="256"/>
      <c r="ML21" s="256"/>
      <c r="MM21" s="256"/>
      <c r="MN21" s="256"/>
      <c r="MO21" s="256"/>
      <c r="MP21" s="256"/>
      <c r="MQ21" s="256"/>
      <c r="MR21" s="256"/>
      <c r="MS21" s="256"/>
      <c r="MT21" s="256"/>
      <c r="MU21" s="256"/>
      <c r="MV21" s="256"/>
      <c r="MW21" s="256"/>
      <c r="MX21" s="256"/>
      <c r="MY21" s="256"/>
      <c r="MZ21" s="256"/>
      <c r="NA21" s="256"/>
      <c r="NB21" s="256"/>
      <c r="NC21" s="256"/>
      <c r="ND21" s="256"/>
      <c r="NE21" s="256"/>
      <c r="NF21" s="256"/>
      <c r="NG21" s="256"/>
      <c r="NH21" s="256"/>
      <c r="NI21" s="256"/>
      <c r="NJ21" s="256"/>
      <c r="NK21" s="256"/>
      <c r="NL21" s="256"/>
      <c r="NM21" s="256"/>
      <c r="NN21" s="256"/>
      <c r="NO21" s="256"/>
      <c r="NP21" s="256"/>
      <c r="NQ21" s="256"/>
      <c r="NR21" s="256"/>
      <c r="NS21" s="256"/>
      <c r="NT21" s="256"/>
      <c r="NU21" s="256"/>
      <c r="NV21" s="256"/>
      <c r="NW21" s="256"/>
      <c r="NX21" s="256"/>
      <c r="NY21" s="256"/>
      <c r="NZ21" s="256"/>
      <c r="OA21" s="256"/>
      <c r="OB21" s="256"/>
      <c r="OC21" s="256"/>
      <c r="OD21" s="256"/>
      <c r="OE21" s="256"/>
      <c r="OF21" s="256"/>
      <c r="OG21" s="256"/>
      <c r="OH21" s="256"/>
      <c r="OI21" s="256"/>
      <c r="OJ21" s="256"/>
      <c r="OK21" s="256"/>
      <c r="OL21" s="256"/>
      <c r="OM21" s="256"/>
      <c r="ON21" s="256"/>
      <c r="OO21" s="256"/>
      <c r="OP21" s="256"/>
      <c r="OQ21" s="256"/>
      <c r="OR21" s="256"/>
      <c r="OS21" s="256"/>
      <c r="OT21" s="256"/>
      <c r="OU21" s="256"/>
      <c r="OV21" s="256"/>
      <c r="OW21" s="256"/>
      <c r="OX21" s="256"/>
      <c r="OY21" s="256"/>
      <c r="OZ21" s="256"/>
      <c r="PA21" s="256"/>
      <c r="PB21" s="256"/>
      <c r="PC21" s="256"/>
      <c r="PD21" s="256"/>
      <c r="PE21" s="256"/>
      <c r="PF21" s="256"/>
      <c r="PG21" s="256"/>
      <c r="PH21" s="256"/>
      <c r="PI21" s="256"/>
      <c r="PJ21" s="256"/>
      <c r="PK21" s="256"/>
      <c r="PL21" s="256"/>
      <c r="PM21" s="256"/>
      <c r="PN21" s="256"/>
      <c r="PO21" s="256"/>
      <c r="PP21" s="256"/>
      <c r="PQ21" s="256"/>
      <c r="PR21" s="256"/>
      <c r="PS21" s="256"/>
      <c r="PT21" s="256"/>
      <c r="PU21" s="256"/>
      <c r="PV21" s="256"/>
      <c r="PW21" s="256"/>
      <c r="PX21" s="256"/>
      <c r="PY21" s="256"/>
      <c r="PZ21" s="256"/>
      <c r="QA21" s="256"/>
      <c r="QB21" s="256"/>
      <c r="QC21" s="256"/>
      <c r="QD21" s="256"/>
      <c r="QE21" s="256"/>
      <c r="QF21" s="256"/>
      <c r="QG21" s="256"/>
      <c r="QH21" s="256"/>
    </row>
    <row r="22" spans="1:450" s="255" customFormat="1" x14ac:dyDescent="0.25">
      <c r="A22" s="249" t="s">
        <v>179</v>
      </c>
      <c r="B22" s="249" t="s">
        <v>252</v>
      </c>
      <c r="C22" s="249" t="s">
        <v>251</v>
      </c>
      <c r="D22" s="250">
        <v>2474</v>
      </c>
      <c r="E22" s="251">
        <v>0.75</v>
      </c>
      <c r="F22" s="250">
        <f t="shared" si="0"/>
        <v>1855.5</v>
      </c>
      <c r="G22" s="251">
        <v>0.25</v>
      </c>
      <c r="H22" s="250">
        <f t="shared" si="1"/>
        <v>618.5</v>
      </c>
      <c r="I22" s="252"/>
      <c r="J22" s="253">
        <f t="shared" si="2"/>
        <v>22266</v>
      </c>
      <c r="K22" s="254">
        <f>SUM(J20:J22)</f>
        <v>72810</v>
      </c>
      <c r="L22" s="254">
        <f>K22</f>
        <v>72810</v>
      </c>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c r="IW22" s="256"/>
      <c r="IX22" s="256"/>
      <c r="IY22" s="256"/>
      <c r="IZ22" s="256"/>
      <c r="JA22" s="256"/>
      <c r="JB22" s="256"/>
      <c r="JC22" s="256"/>
      <c r="JD22" s="256"/>
      <c r="JE22" s="256"/>
      <c r="JF22" s="256"/>
      <c r="JG22" s="256"/>
      <c r="JH22" s="256"/>
      <c r="JI22" s="256"/>
      <c r="JJ22" s="256"/>
      <c r="JK22" s="256"/>
      <c r="JL22" s="256"/>
      <c r="JM22" s="256"/>
      <c r="JN22" s="256"/>
      <c r="JO22" s="256"/>
      <c r="JP22" s="256"/>
      <c r="JQ22" s="256"/>
      <c r="JR22" s="256"/>
      <c r="JS22" s="256"/>
      <c r="JT22" s="256"/>
      <c r="JU22" s="256"/>
      <c r="JV22" s="256"/>
      <c r="JW22" s="256"/>
      <c r="JX22" s="256"/>
      <c r="JY22" s="256"/>
      <c r="JZ22" s="256"/>
      <c r="KA22" s="256"/>
      <c r="KB22" s="256"/>
      <c r="KC22" s="256"/>
      <c r="KD22" s="256"/>
      <c r="KE22" s="256"/>
      <c r="KF22" s="256"/>
      <c r="KG22" s="256"/>
      <c r="KH22" s="256"/>
      <c r="KI22" s="256"/>
      <c r="KJ22" s="256"/>
      <c r="KK22" s="256"/>
      <c r="KL22" s="256"/>
      <c r="KM22" s="256"/>
      <c r="KN22" s="256"/>
      <c r="KO22" s="256"/>
      <c r="KP22" s="256"/>
      <c r="KQ22" s="256"/>
      <c r="KR22" s="256"/>
      <c r="KS22" s="256"/>
      <c r="KT22" s="256"/>
      <c r="KU22" s="256"/>
      <c r="KV22" s="256"/>
      <c r="KW22" s="256"/>
      <c r="KX22" s="256"/>
      <c r="KY22" s="256"/>
      <c r="KZ22" s="256"/>
      <c r="LA22" s="256"/>
      <c r="LB22" s="256"/>
      <c r="LC22" s="256"/>
      <c r="LD22" s="256"/>
      <c r="LE22" s="256"/>
      <c r="LF22" s="256"/>
      <c r="LG22" s="256"/>
      <c r="LH22" s="256"/>
      <c r="LI22" s="256"/>
      <c r="LJ22" s="256"/>
      <c r="LK22" s="256"/>
      <c r="LL22" s="256"/>
      <c r="LM22" s="256"/>
      <c r="LN22" s="256"/>
      <c r="LO22" s="256"/>
      <c r="LP22" s="256"/>
      <c r="LQ22" s="256"/>
      <c r="LR22" s="256"/>
      <c r="LS22" s="256"/>
      <c r="LT22" s="256"/>
      <c r="LU22" s="256"/>
      <c r="LV22" s="256"/>
      <c r="LW22" s="256"/>
      <c r="LX22" s="256"/>
      <c r="LY22" s="256"/>
      <c r="LZ22" s="256"/>
      <c r="MA22" s="256"/>
      <c r="MB22" s="256"/>
      <c r="MC22" s="256"/>
      <c r="MD22" s="256"/>
      <c r="ME22" s="256"/>
      <c r="MF22" s="256"/>
      <c r="MG22" s="256"/>
      <c r="MH22" s="256"/>
      <c r="MI22" s="256"/>
      <c r="MJ22" s="256"/>
      <c r="MK22" s="256"/>
      <c r="ML22" s="256"/>
      <c r="MM22" s="256"/>
      <c r="MN22" s="256"/>
      <c r="MO22" s="256"/>
      <c r="MP22" s="256"/>
      <c r="MQ22" s="256"/>
      <c r="MR22" s="256"/>
      <c r="MS22" s="256"/>
      <c r="MT22" s="256"/>
      <c r="MU22" s="256"/>
      <c r="MV22" s="256"/>
      <c r="MW22" s="256"/>
      <c r="MX22" s="256"/>
      <c r="MY22" s="256"/>
      <c r="MZ22" s="256"/>
      <c r="NA22" s="256"/>
      <c r="NB22" s="256"/>
      <c r="NC22" s="256"/>
      <c r="ND22" s="256"/>
      <c r="NE22" s="256"/>
      <c r="NF22" s="256"/>
      <c r="NG22" s="256"/>
      <c r="NH22" s="256"/>
      <c r="NI22" s="256"/>
      <c r="NJ22" s="256"/>
      <c r="NK22" s="256"/>
      <c r="NL22" s="256"/>
      <c r="NM22" s="256"/>
      <c r="NN22" s="256"/>
      <c r="NO22" s="256"/>
      <c r="NP22" s="256"/>
      <c r="NQ22" s="256"/>
      <c r="NR22" s="256"/>
      <c r="NS22" s="256"/>
      <c r="NT22" s="256"/>
      <c r="NU22" s="256"/>
      <c r="NV22" s="256"/>
      <c r="NW22" s="256"/>
      <c r="NX22" s="256"/>
      <c r="NY22" s="256"/>
      <c r="NZ22" s="256"/>
      <c r="OA22" s="256"/>
      <c r="OB22" s="256"/>
      <c r="OC22" s="256"/>
      <c r="OD22" s="256"/>
      <c r="OE22" s="256"/>
      <c r="OF22" s="256"/>
      <c r="OG22" s="256"/>
      <c r="OH22" s="256"/>
      <c r="OI22" s="256"/>
      <c r="OJ22" s="256"/>
      <c r="OK22" s="256"/>
      <c r="OL22" s="256"/>
      <c r="OM22" s="256"/>
      <c r="ON22" s="256"/>
      <c r="OO22" s="256"/>
      <c r="OP22" s="256"/>
      <c r="OQ22" s="256"/>
      <c r="OR22" s="256"/>
      <c r="OS22" s="256"/>
      <c r="OT22" s="256"/>
      <c r="OU22" s="256"/>
      <c r="OV22" s="256"/>
      <c r="OW22" s="256"/>
      <c r="OX22" s="256"/>
      <c r="OY22" s="256"/>
      <c r="OZ22" s="256"/>
      <c r="PA22" s="256"/>
      <c r="PB22" s="256"/>
      <c r="PC22" s="256"/>
      <c r="PD22" s="256"/>
      <c r="PE22" s="256"/>
      <c r="PF22" s="256"/>
      <c r="PG22" s="256"/>
      <c r="PH22" s="256"/>
      <c r="PI22" s="256"/>
      <c r="PJ22" s="256"/>
      <c r="PK22" s="256"/>
      <c r="PL22" s="256"/>
      <c r="PM22" s="256"/>
      <c r="PN22" s="256"/>
      <c r="PO22" s="256"/>
      <c r="PP22" s="256"/>
      <c r="PQ22" s="256"/>
      <c r="PR22" s="256"/>
      <c r="PS22" s="256"/>
      <c r="PT22" s="256"/>
      <c r="PU22" s="256"/>
      <c r="PV22" s="256"/>
      <c r="PW22" s="256"/>
      <c r="PX22" s="256"/>
      <c r="PY22" s="256"/>
      <c r="PZ22" s="256"/>
      <c r="QA22" s="256"/>
      <c r="QB22" s="256"/>
      <c r="QC22" s="256"/>
      <c r="QD22" s="256"/>
      <c r="QE22" s="256"/>
      <c r="QF22" s="256"/>
      <c r="QG22" s="256"/>
      <c r="QH22" s="256"/>
    </row>
    <row r="23" spans="1:450" s="77" customFormat="1" ht="13.5" customHeight="1" x14ac:dyDescent="0.3">
      <c r="A23" s="178"/>
      <c r="B23" s="178"/>
      <c r="C23" s="84"/>
      <c r="D23" s="85"/>
      <c r="E23" s="178"/>
      <c r="F23" s="180"/>
      <c r="G23" s="178"/>
      <c r="H23" s="179"/>
      <c r="I23" s="82"/>
      <c r="K23" s="171"/>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c r="EU23" s="256"/>
      <c r="EV23" s="256"/>
      <c r="EW23" s="256"/>
      <c r="EX23" s="256"/>
      <c r="EY23" s="256"/>
      <c r="EZ23" s="256"/>
      <c r="FA23" s="256"/>
      <c r="FB23" s="256"/>
      <c r="FC23" s="256"/>
      <c r="FD23" s="256"/>
      <c r="FE23" s="256"/>
      <c r="FF23" s="256"/>
      <c r="FG23" s="256"/>
      <c r="FH23" s="256"/>
      <c r="FI23" s="256"/>
      <c r="FJ23" s="256"/>
      <c r="FK23" s="256"/>
      <c r="FL23" s="256"/>
      <c r="FM23" s="256"/>
      <c r="FN23" s="256"/>
      <c r="FO23" s="256"/>
      <c r="FP23" s="256"/>
      <c r="FQ23" s="256"/>
      <c r="FR23" s="256"/>
      <c r="FS23" s="256"/>
      <c r="FT23" s="256"/>
      <c r="FU23" s="256"/>
      <c r="FV23" s="256"/>
      <c r="FW23" s="256"/>
      <c r="FX23" s="256"/>
      <c r="FY23" s="256"/>
      <c r="FZ23" s="256"/>
      <c r="GA23" s="256"/>
      <c r="GB23" s="256"/>
      <c r="GC23" s="256"/>
      <c r="GD23" s="256"/>
      <c r="GE23" s="256"/>
      <c r="GF23" s="256"/>
      <c r="GG23" s="256"/>
      <c r="GH23" s="256"/>
      <c r="GI23" s="256"/>
      <c r="GJ23" s="256"/>
      <c r="GK23" s="256"/>
      <c r="GL23" s="256"/>
      <c r="GM23" s="256"/>
      <c r="GN23" s="256"/>
      <c r="GO23" s="256"/>
      <c r="GP23" s="256"/>
      <c r="GQ23" s="256"/>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256"/>
      <c r="HU23" s="256"/>
      <c r="HV23" s="256"/>
      <c r="HW23" s="256"/>
      <c r="HX23" s="256"/>
      <c r="HY23" s="256"/>
      <c r="HZ23" s="256"/>
      <c r="IA23" s="256"/>
      <c r="IB23" s="256"/>
      <c r="IC23" s="256"/>
      <c r="ID23" s="256"/>
      <c r="IE23" s="256"/>
      <c r="IF23" s="256"/>
      <c r="IG23" s="256"/>
      <c r="IH23" s="256"/>
      <c r="II23" s="256"/>
      <c r="IJ23" s="256"/>
      <c r="IK23" s="256"/>
      <c r="IL23" s="256"/>
      <c r="IM23" s="256"/>
      <c r="IN23" s="256"/>
      <c r="IO23" s="256"/>
      <c r="IP23" s="256"/>
      <c r="IQ23" s="256"/>
      <c r="IR23" s="256"/>
      <c r="IS23" s="256"/>
      <c r="IT23" s="256"/>
      <c r="IU23" s="256"/>
      <c r="IV23" s="256"/>
      <c r="IW23" s="256"/>
      <c r="IX23" s="256"/>
      <c r="IY23" s="256"/>
      <c r="IZ23" s="256"/>
      <c r="JA23" s="256"/>
      <c r="JB23" s="256"/>
      <c r="JC23" s="256"/>
      <c r="JD23" s="256"/>
      <c r="JE23" s="256"/>
      <c r="JF23" s="256"/>
      <c r="JG23" s="256"/>
      <c r="JH23" s="256"/>
      <c r="JI23" s="256"/>
      <c r="JJ23" s="256"/>
      <c r="JK23" s="256"/>
      <c r="JL23" s="256"/>
      <c r="JM23" s="256"/>
      <c r="JN23" s="256"/>
      <c r="JO23" s="256"/>
      <c r="JP23" s="256"/>
      <c r="JQ23" s="256"/>
      <c r="JR23" s="256"/>
      <c r="JS23" s="256"/>
      <c r="JT23" s="256"/>
      <c r="JU23" s="256"/>
      <c r="JV23" s="256"/>
      <c r="JW23" s="256"/>
      <c r="JX23" s="256"/>
      <c r="JY23" s="256"/>
      <c r="JZ23" s="256"/>
      <c r="KA23" s="256"/>
      <c r="KB23" s="256"/>
      <c r="KC23" s="256"/>
      <c r="KD23" s="256"/>
      <c r="KE23" s="256"/>
      <c r="KF23" s="256"/>
      <c r="KG23" s="256"/>
      <c r="KH23" s="256"/>
      <c r="KI23" s="256"/>
      <c r="KJ23" s="256"/>
      <c r="KK23" s="256"/>
      <c r="KL23" s="256"/>
      <c r="KM23" s="256"/>
      <c r="KN23" s="256"/>
      <c r="KO23" s="256"/>
      <c r="KP23" s="256"/>
      <c r="KQ23" s="256"/>
      <c r="KR23" s="256"/>
      <c r="KS23" s="256"/>
      <c r="KT23" s="256"/>
      <c r="KU23" s="256"/>
      <c r="KV23" s="256"/>
      <c r="KW23" s="256"/>
      <c r="KX23" s="256"/>
      <c r="KY23" s="256"/>
      <c r="KZ23" s="256"/>
      <c r="LA23" s="256"/>
      <c r="LB23" s="256"/>
      <c r="LC23" s="256"/>
      <c r="LD23" s="256"/>
      <c r="LE23" s="256"/>
      <c r="LF23" s="256"/>
      <c r="LG23" s="256"/>
      <c r="LH23" s="256"/>
      <c r="LI23" s="256"/>
      <c r="LJ23" s="256"/>
      <c r="LK23" s="256"/>
      <c r="LL23" s="256"/>
      <c r="LM23" s="256"/>
      <c r="LN23" s="256"/>
      <c r="LO23" s="256"/>
      <c r="LP23" s="256"/>
      <c r="LQ23" s="256"/>
      <c r="LR23" s="256"/>
      <c r="LS23" s="256"/>
      <c r="LT23" s="256"/>
      <c r="LU23" s="256"/>
      <c r="LV23" s="256"/>
      <c r="LW23" s="256"/>
      <c r="LX23" s="256"/>
      <c r="LY23" s="256"/>
      <c r="LZ23" s="256"/>
      <c r="MA23" s="256"/>
      <c r="MB23" s="256"/>
      <c r="MC23" s="256"/>
      <c r="MD23" s="256"/>
      <c r="ME23" s="256"/>
      <c r="MF23" s="256"/>
      <c r="MG23" s="256"/>
      <c r="MH23" s="256"/>
      <c r="MI23" s="256"/>
      <c r="MJ23" s="256"/>
      <c r="MK23" s="256"/>
      <c r="ML23" s="256"/>
      <c r="MM23" s="256"/>
      <c r="MN23" s="256"/>
      <c r="MO23" s="256"/>
      <c r="MP23" s="256"/>
      <c r="MQ23" s="256"/>
      <c r="MR23" s="256"/>
      <c r="MS23" s="256"/>
      <c r="MT23" s="256"/>
      <c r="MU23" s="256"/>
      <c r="MV23" s="256"/>
      <c r="MW23" s="256"/>
      <c r="MX23" s="256"/>
      <c r="MY23" s="256"/>
      <c r="MZ23" s="256"/>
      <c r="NA23" s="256"/>
      <c r="NB23" s="256"/>
      <c r="NC23" s="256"/>
      <c r="ND23" s="256"/>
      <c r="NE23" s="256"/>
      <c r="NF23" s="256"/>
      <c r="NG23" s="256"/>
      <c r="NH23" s="256"/>
      <c r="NI23" s="256"/>
      <c r="NJ23" s="256"/>
      <c r="NK23" s="256"/>
      <c r="NL23" s="256"/>
      <c r="NM23" s="256"/>
      <c r="NN23" s="256"/>
      <c r="NO23" s="256"/>
      <c r="NP23" s="256"/>
      <c r="NQ23" s="256"/>
      <c r="NR23" s="256"/>
      <c r="NS23" s="256"/>
      <c r="NT23" s="256"/>
      <c r="NU23" s="256"/>
      <c r="NV23" s="256"/>
      <c r="NW23" s="256"/>
      <c r="NX23" s="256"/>
      <c r="NY23" s="256"/>
      <c r="NZ23" s="256"/>
      <c r="OA23" s="256"/>
      <c r="OB23" s="256"/>
      <c r="OC23" s="256"/>
      <c r="OD23" s="256"/>
      <c r="OE23" s="256"/>
      <c r="OF23" s="256"/>
      <c r="OG23" s="256"/>
      <c r="OH23" s="256"/>
      <c r="OI23" s="256"/>
      <c r="OJ23" s="256"/>
      <c r="OK23" s="256"/>
      <c r="OL23" s="256"/>
      <c r="OM23" s="256"/>
      <c r="ON23" s="256"/>
      <c r="OO23" s="256"/>
      <c r="OP23" s="256"/>
      <c r="OQ23" s="256"/>
      <c r="OR23" s="256"/>
      <c r="OS23" s="256"/>
      <c r="OT23" s="256"/>
      <c r="OU23" s="256"/>
      <c r="OV23" s="256"/>
      <c r="OW23" s="256"/>
      <c r="OX23" s="256"/>
      <c r="OY23" s="256"/>
      <c r="OZ23" s="256"/>
      <c r="PA23" s="256"/>
      <c r="PB23" s="256"/>
      <c r="PC23" s="256"/>
      <c r="PD23" s="256"/>
      <c r="PE23" s="256"/>
      <c r="PF23" s="256"/>
      <c r="PG23" s="256"/>
      <c r="PH23" s="256"/>
      <c r="PI23" s="256"/>
      <c r="PJ23" s="256"/>
      <c r="PK23" s="256"/>
      <c r="PL23" s="256"/>
      <c r="PM23" s="256"/>
      <c r="PN23" s="256"/>
      <c r="PO23" s="256"/>
      <c r="PP23" s="256"/>
      <c r="PQ23" s="256"/>
      <c r="PR23" s="256"/>
      <c r="PS23" s="256"/>
      <c r="PT23" s="256"/>
      <c r="PU23" s="256"/>
      <c r="PV23" s="256"/>
      <c r="PW23" s="256"/>
      <c r="PX23" s="256"/>
      <c r="PY23" s="256"/>
      <c r="PZ23" s="256"/>
      <c r="QA23" s="256"/>
      <c r="QB23" s="256"/>
      <c r="QC23" s="256"/>
      <c r="QD23" s="256"/>
      <c r="QE23" s="256"/>
      <c r="QF23" s="256"/>
      <c r="QG23" s="256"/>
      <c r="QH23" s="256"/>
    </row>
    <row r="24" spans="1:450" s="77" customFormat="1" x14ac:dyDescent="0.25">
      <c r="A24" s="81" t="s">
        <v>202</v>
      </c>
      <c r="B24" s="81" t="s">
        <v>237</v>
      </c>
      <c r="C24" s="81" t="s">
        <v>254</v>
      </c>
      <c r="D24" s="87">
        <v>1121</v>
      </c>
      <c r="E24" s="85">
        <v>0.75</v>
      </c>
      <c r="F24" s="169">
        <f>D24*E24</f>
        <v>840.75</v>
      </c>
      <c r="G24" s="85">
        <v>0.25</v>
      </c>
      <c r="H24" s="86">
        <f>G24*D24</f>
        <v>280.25</v>
      </c>
      <c r="I24" s="82"/>
      <c r="J24" s="170">
        <f>F24*12</f>
        <v>10089</v>
      </c>
      <c r="K24" s="172">
        <f>J24</f>
        <v>10089</v>
      </c>
      <c r="L24" s="285">
        <f>K24</f>
        <v>10089</v>
      </c>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c r="IW24" s="256"/>
      <c r="IX24" s="256"/>
      <c r="IY24" s="256"/>
      <c r="IZ24" s="256"/>
      <c r="JA24" s="256"/>
      <c r="JB24" s="256"/>
      <c r="JC24" s="256"/>
      <c r="JD24" s="256"/>
      <c r="JE24" s="256"/>
      <c r="JF24" s="256"/>
      <c r="JG24" s="256"/>
      <c r="JH24" s="256"/>
      <c r="JI24" s="256"/>
      <c r="JJ24" s="256"/>
      <c r="JK24" s="256"/>
      <c r="JL24" s="256"/>
      <c r="JM24" s="256"/>
      <c r="JN24" s="256"/>
      <c r="JO24" s="256"/>
      <c r="JP24" s="256"/>
      <c r="JQ24" s="256"/>
      <c r="JR24" s="256"/>
      <c r="JS24" s="256"/>
      <c r="JT24" s="256"/>
      <c r="JU24" s="256"/>
      <c r="JV24" s="256"/>
      <c r="JW24" s="256"/>
      <c r="JX24" s="256"/>
      <c r="JY24" s="256"/>
      <c r="JZ24" s="256"/>
      <c r="KA24" s="256"/>
      <c r="KB24" s="256"/>
      <c r="KC24" s="256"/>
      <c r="KD24" s="256"/>
      <c r="KE24" s="256"/>
      <c r="KF24" s="256"/>
      <c r="KG24" s="256"/>
      <c r="KH24" s="256"/>
      <c r="KI24" s="256"/>
      <c r="KJ24" s="256"/>
      <c r="KK24" s="256"/>
      <c r="KL24" s="256"/>
      <c r="KM24" s="256"/>
      <c r="KN24" s="256"/>
      <c r="KO24" s="256"/>
      <c r="KP24" s="256"/>
      <c r="KQ24" s="256"/>
      <c r="KR24" s="256"/>
      <c r="KS24" s="256"/>
      <c r="KT24" s="256"/>
      <c r="KU24" s="256"/>
      <c r="KV24" s="256"/>
      <c r="KW24" s="256"/>
      <c r="KX24" s="256"/>
      <c r="KY24" s="256"/>
      <c r="KZ24" s="256"/>
      <c r="LA24" s="256"/>
      <c r="LB24" s="256"/>
      <c r="LC24" s="256"/>
      <c r="LD24" s="256"/>
      <c r="LE24" s="256"/>
      <c r="LF24" s="256"/>
      <c r="LG24" s="256"/>
      <c r="LH24" s="256"/>
      <c r="LI24" s="256"/>
      <c r="LJ24" s="256"/>
      <c r="LK24" s="256"/>
      <c r="LL24" s="256"/>
      <c r="LM24" s="256"/>
      <c r="LN24" s="256"/>
      <c r="LO24" s="256"/>
      <c r="LP24" s="256"/>
      <c r="LQ24" s="256"/>
      <c r="LR24" s="256"/>
      <c r="LS24" s="256"/>
      <c r="LT24" s="256"/>
      <c r="LU24" s="256"/>
      <c r="LV24" s="256"/>
      <c r="LW24" s="256"/>
      <c r="LX24" s="256"/>
      <c r="LY24" s="256"/>
      <c r="LZ24" s="256"/>
      <c r="MA24" s="256"/>
      <c r="MB24" s="256"/>
      <c r="MC24" s="256"/>
      <c r="MD24" s="256"/>
      <c r="ME24" s="256"/>
      <c r="MF24" s="256"/>
      <c r="MG24" s="256"/>
      <c r="MH24" s="256"/>
      <c r="MI24" s="256"/>
      <c r="MJ24" s="256"/>
      <c r="MK24" s="256"/>
      <c r="ML24" s="256"/>
      <c r="MM24" s="256"/>
      <c r="MN24" s="256"/>
      <c r="MO24" s="256"/>
      <c r="MP24" s="256"/>
      <c r="MQ24" s="256"/>
      <c r="MR24" s="256"/>
      <c r="MS24" s="256"/>
      <c r="MT24" s="256"/>
      <c r="MU24" s="256"/>
      <c r="MV24" s="256"/>
      <c r="MW24" s="256"/>
      <c r="MX24" s="256"/>
      <c r="MY24" s="256"/>
      <c r="MZ24" s="256"/>
      <c r="NA24" s="256"/>
      <c r="NB24" s="256"/>
      <c r="NC24" s="256"/>
      <c r="ND24" s="256"/>
      <c r="NE24" s="256"/>
      <c r="NF24" s="256"/>
      <c r="NG24" s="256"/>
      <c r="NH24" s="256"/>
      <c r="NI24" s="256"/>
      <c r="NJ24" s="256"/>
      <c r="NK24" s="256"/>
      <c r="NL24" s="256"/>
      <c r="NM24" s="256"/>
      <c r="NN24" s="256"/>
      <c r="NO24" s="256"/>
      <c r="NP24" s="256"/>
      <c r="NQ24" s="256"/>
      <c r="NR24" s="256"/>
      <c r="NS24" s="256"/>
      <c r="NT24" s="256"/>
      <c r="NU24" s="256"/>
      <c r="NV24" s="256"/>
      <c r="NW24" s="256"/>
      <c r="NX24" s="256"/>
      <c r="NY24" s="256"/>
      <c r="NZ24" s="256"/>
      <c r="OA24" s="256"/>
      <c r="OB24" s="256"/>
      <c r="OC24" s="256"/>
      <c r="OD24" s="256"/>
      <c r="OE24" s="256"/>
      <c r="OF24" s="256"/>
      <c r="OG24" s="256"/>
      <c r="OH24" s="256"/>
      <c r="OI24" s="256"/>
      <c r="OJ24" s="256"/>
      <c r="OK24" s="256"/>
      <c r="OL24" s="256"/>
      <c r="OM24" s="256"/>
      <c r="ON24" s="256"/>
      <c r="OO24" s="256"/>
      <c r="OP24" s="256"/>
      <c r="OQ24" s="256"/>
      <c r="OR24" s="256"/>
      <c r="OS24" s="256"/>
      <c r="OT24" s="256"/>
      <c r="OU24" s="256"/>
      <c r="OV24" s="256"/>
      <c r="OW24" s="256"/>
      <c r="OX24" s="256"/>
      <c r="OY24" s="256"/>
      <c r="OZ24" s="256"/>
      <c r="PA24" s="256"/>
      <c r="PB24" s="256"/>
      <c r="PC24" s="256"/>
      <c r="PD24" s="256"/>
      <c r="PE24" s="256"/>
      <c r="PF24" s="256"/>
      <c r="PG24" s="256"/>
      <c r="PH24" s="256"/>
      <c r="PI24" s="256"/>
      <c r="PJ24" s="256"/>
      <c r="PK24" s="256"/>
      <c r="PL24" s="256"/>
      <c r="PM24" s="256"/>
      <c r="PN24" s="256"/>
      <c r="PO24" s="256"/>
      <c r="PP24" s="256"/>
      <c r="PQ24" s="256"/>
      <c r="PR24" s="256"/>
      <c r="PS24" s="256"/>
      <c r="PT24" s="256"/>
      <c r="PU24" s="256"/>
      <c r="PV24" s="256"/>
      <c r="PW24" s="256"/>
      <c r="PX24" s="256"/>
      <c r="PY24" s="256"/>
      <c r="PZ24" s="256"/>
      <c r="QA24" s="256"/>
      <c r="QB24" s="256"/>
      <c r="QC24" s="256"/>
      <c r="QD24" s="256"/>
      <c r="QE24" s="256"/>
      <c r="QF24" s="256"/>
      <c r="QG24" s="256"/>
      <c r="QH24" s="256"/>
    </row>
    <row r="25" spans="1:450" s="255" customFormat="1" x14ac:dyDescent="0.25">
      <c r="A25" s="249" t="s">
        <v>179</v>
      </c>
      <c r="B25" s="249" t="s">
        <v>253</v>
      </c>
      <c r="C25" s="249" t="s">
        <v>254</v>
      </c>
      <c r="D25" s="250">
        <v>2345</v>
      </c>
      <c r="E25" s="251">
        <v>0.75</v>
      </c>
      <c r="F25" s="250">
        <f t="shared" si="0"/>
        <v>1758.75</v>
      </c>
      <c r="G25" s="251">
        <v>0.25</v>
      </c>
      <c r="H25" s="250">
        <f t="shared" si="1"/>
        <v>586.25</v>
      </c>
      <c r="I25" s="252"/>
      <c r="J25" s="253">
        <f t="shared" si="2"/>
        <v>21105</v>
      </c>
      <c r="K25" s="254"/>
      <c r="L25" s="256"/>
      <c r="M25" s="256" t="s">
        <v>1469</v>
      </c>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c r="IW25" s="256"/>
      <c r="IX25" s="256"/>
      <c r="IY25" s="256"/>
      <c r="IZ25" s="256"/>
      <c r="JA25" s="256"/>
      <c r="JB25" s="256"/>
      <c r="JC25" s="256"/>
      <c r="JD25" s="256"/>
      <c r="JE25" s="256"/>
      <c r="JF25" s="256"/>
      <c r="JG25" s="256"/>
      <c r="JH25" s="256"/>
      <c r="JI25" s="256"/>
      <c r="JJ25" s="256"/>
      <c r="JK25" s="256"/>
      <c r="JL25" s="256"/>
      <c r="JM25" s="256"/>
      <c r="JN25" s="256"/>
      <c r="JO25" s="256"/>
      <c r="JP25" s="256"/>
      <c r="JQ25" s="256"/>
      <c r="JR25" s="256"/>
      <c r="JS25" s="256"/>
      <c r="JT25" s="256"/>
      <c r="JU25" s="256"/>
      <c r="JV25" s="256"/>
      <c r="JW25" s="256"/>
      <c r="JX25" s="256"/>
      <c r="JY25" s="256"/>
      <c r="JZ25" s="256"/>
      <c r="KA25" s="256"/>
      <c r="KB25" s="256"/>
      <c r="KC25" s="256"/>
      <c r="KD25" s="256"/>
      <c r="KE25" s="256"/>
      <c r="KF25" s="256"/>
      <c r="KG25" s="256"/>
      <c r="KH25" s="256"/>
      <c r="KI25" s="256"/>
      <c r="KJ25" s="256"/>
      <c r="KK25" s="256"/>
      <c r="KL25" s="256"/>
      <c r="KM25" s="256"/>
      <c r="KN25" s="256"/>
      <c r="KO25" s="256"/>
      <c r="KP25" s="256"/>
      <c r="KQ25" s="256"/>
      <c r="KR25" s="256"/>
      <c r="KS25" s="256"/>
      <c r="KT25" s="256"/>
      <c r="KU25" s="256"/>
      <c r="KV25" s="256"/>
      <c r="KW25" s="256"/>
      <c r="KX25" s="256"/>
      <c r="KY25" s="256"/>
      <c r="KZ25" s="256"/>
      <c r="LA25" s="256"/>
      <c r="LB25" s="256"/>
      <c r="LC25" s="256"/>
      <c r="LD25" s="256"/>
      <c r="LE25" s="256"/>
      <c r="LF25" s="256"/>
      <c r="LG25" s="256"/>
      <c r="LH25" s="256"/>
      <c r="LI25" s="256"/>
      <c r="LJ25" s="256"/>
      <c r="LK25" s="256"/>
      <c r="LL25" s="256"/>
      <c r="LM25" s="256"/>
      <c r="LN25" s="256"/>
      <c r="LO25" s="256"/>
      <c r="LP25" s="256"/>
      <c r="LQ25" s="256"/>
      <c r="LR25" s="256"/>
      <c r="LS25" s="256"/>
      <c r="LT25" s="256"/>
      <c r="LU25" s="256"/>
      <c r="LV25" s="256"/>
      <c r="LW25" s="256"/>
      <c r="LX25" s="256"/>
      <c r="LY25" s="256"/>
      <c r="LZ25" s="256"/>
      <c r="MA25" s="256"/>
      <c r="MB25" s="256"/>
      <c r="MC25" s="256"/>
      <c r="MD25" s="256"/>
      <c r="ME25" s="256"/>
      <c r="MF25" s="256"/>
      <c r="MG25" s="256"/>
      <c r="MH25" s="256"/>
      <c r="MI25" s="256"/>
      <c r="MJ25" s="256"/>
      <c r="MK25" s="256"/>
      <c r="ML25" s="256"/>
      <c r="MM25" s="256"/>
      <c r="MN25" s="256"/>
      <c r="MO25" s="256"/>
      <c r="MP25" s="256"/>
      <c r="MQ25" s="256"/>
      <c r="MR25" s="256"/>
      <c r="MS25" s="256"/>
      <c r="MT25" s="256"/>
      <c r="MU25" s="256"/>
      <c r="MV25" s="256"/>
      <c r="MW25" s="256"/>
      <c r="MX25" s="256"/>
      <c r="MY25" s="256"/>
      <c r="MZ25" s="256"/>
      <c r="NA25" s="256"/>
      <c r="NB25" s="256"/>
      <c r="NC25" s="256"/>
      <c r="ND25" s="256"/>
      <c r="NE25" s="256"/>
      <c r="NF25" s="256"/>
      <c r="NG25" s="256"/>
      <c r="NH25" s="256"/>
      <c r="NI25" s="256"/>
      <c r="NJ25" s="256"/>
      <c r="NK25" s="256"/>
      <c r="NL25" s="256"/>
      <c r="NM25" s="256"/>
      <c r="NN25" s="256"/>
      <c r="NO25" s="256"/>
      <c r="NP25" s="256"/>
      <c r="NQ25" s="256"/>
      <c r="NR25" s="256"/>
      <c r="NS25" s="256"/>
      <c r="NT25" s="256"/>
      <c r="NU25" s="256"/>
      <c r="NV25" s="256"/>
      <c r="NW25" s="256"/>
      <c r="NX25" s="256"/>
      <c r="NY25" s="256"/>
      <c r="NZ25" s="256"/>
      <c r="OA25" s="256"/>
      <c r="OB25" s="256"/>
      <c r="OC25" s="256"/>
      <c r="OD25" s="256"/>
      <c r="OE25" s="256"/>
      <c r="OF25" s="256"/>
      <c r="OG25" s="256"/>
      <c r="OH25" s="256"/>
      <c r="OI25" s="256"/>
      <c r="OJ25" s="256"/>
      <c r="OK25" s="256"/>
      <c r="OL25" s="256"/>
      <c r="OM25" s="256"/>
      <c r="ON25" s="256"/>
      <c r="OO25" s="256"/>
      <c r="OP25" s="256"/>
      <c r="OQ25" s="256"/>
      <c r="OR25" s="256"/>
      <c r="OS25" s="256"/>
      <c r="OT25" s="256"/>
      <c r="OU25" s="256"/>
      <c r="OV25" s="256"/>
      <c r="OW25" s="256"/>
      <c r="OX25" s="256"/>
      <c r="OY25" s="256"/>
      <c r="OZ25" s="256"/>
      <c r="PA25" s="256"/>
      <c r="PB25" s="256"/>
      <c r="PC25" s="256"/>
      <c r="PD25" s="256"/>
      <c r="PE25" s="256"/>
      <c r="PF25" s="256"/>
      <c r="PG25" s="256"/>
      <c r="PH25" s="256"/>
      <c r="PI25" s="256"/>
      <c r="PJ25" s="256"/>
      <c r="PK25" s="256"/>
      <c r="PL25" s="256"/>
      <c r="PM25" s="256"/>
      <c r="PN25" s="256"/>
      <c r="PO25" s="256"/>
      <c r="PP25" s="256"/>
      <c r="PQ25" s="256"/>
      <c r="PR25" s="256"/>
      <c r="PS25" s="256"/>
      <c r="PT25" s="256"/>
      <c r="PU25" s="256"/>
      <c r="PV25" s="256"/>
      <c r="PW25" s="256"/>
      <c r="PX25" s="256"/>
      <c r="PY25" s="256"/>
      <c r="PZ25" s="256"/>
      <c r="QA25" s="256"/>
      <c r="QB25" s="256"/>
      <c r="QC25" s="256"/>
      <c r="QD25" s="256"/>
      <c r="QE25" s="256"/>
      <c r="QF25" s="256"/>
      <c r="QG25" s="256"/>
      <c r="QH25" s="256"/>
    </row>
    <row r="26" spans="1:450" s="255" customFormat="1" x14ac:dyDescent="0.25">
      <c r="A26" s="249" t="s">
        <v>179</v>
      </c>
      <c r="B26" s="249" t="s">
        <v>255</v>
      </c>
      <c r="C26" s="249" t="s">
        <v>254</v>
      </c>
      <c r="D26" s="250">
        <v>2808</v>
      </c>
      <c r="E26" s="251">
        <v>0.75</v>
      </c>
      <c r="F26" s="250">
        <f t="shared" si="0"/>
        <v>2106</v>
      </c>
      <c r="G26" s="251">
        <v>0.25</v>
      </c>
      <c r="H26" s="250">
        <f t="shared" si="1"/>
        <v>702</v>
      </c>
      <c r="I26" s="252"/>
      <c r="J26" s="253">
        <f t="shared" si="2"/>
        <v>25272</v>
      </c>
      <c r="K26" s="254">
        <f>SUM(J25:J26)</f>
        <v>46377</v>
      </c>
      <c r="L26" s="254">
        <f>K26</f>
        <v>46377</v>
      </c>
      <c r="M26" s="254">
        <f>L12+L22+L26</f>
        <v>189972</v>
      </c>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c r="EU26" s="256"/>
      <c r="EV26" s="256"/>
      <c r="EW26" s="256"/>
      <c r="EX26" s="256"/>
      <c r="EY26" s="256"/>
      <c r="EZ26" s="256"/>
      <c r="FA26" s="256"/>
      <c r="FB26" s="256"/>
      <c r="FC26" s="256"/>
      <c r="FD26" s="256"/>
      <c r="FE26" s="256"/>
      <c r="FF26" s="256"/>
      <c r="FG26" s="256"/>
      <c r="FH26" s="256"/>
      <c r="FI26" s="256"/>
      <c r="FJ26" s="256"/>
      <c r="FK26" s="256"/>
      <c r="FL26" s="256"/>
      <c r="FM26" s="256"/>
      <c r="FN26" s="256"/>
      <c r="FO26" s="256"/>
      <c r="FP26" s="256"/>
      <c r="FQ26" s="256"/>
      <c r="FR26" s="256"/>
      <c r="FS26" s="256"/>
      <c r="FT26" s="256"/>
      <c r="FU26" s="256"/>
      <c r="FV26" s="256"/>
      <c r="FW26" s="256"/>
      <c r="FX26" s="256"/>
      <c r="FY26" s="256"/>
      <c r="FZ26" s="256"/>
      <c r="GA26" s="256"/>
      <c r="GB26" s="256"/>
      <c r="GC26" s="256"/>
      <c r="GD26" s="256"/>
      <c r="GE26" s="256"/>
      <c r="GF26" s="256"/>
      <c r="GG26" s="256"/>
      <c r="GH26" s="256"/>
      <c r="GI26" s="256"/>
      <c r="GJ26" s="256"/>
      <c r="GK26" s="256"/>
      <c r="GL26" s="256"/>
      <c r="GM26" s="256"/>
      <c r="GN26" s="256"/>
      <c r="GO26" s="256"/>
      <c r="GP26" s="256"/>
      <c r="GQ26" s="256"/>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256"/>
      <c r="HU26" s="256"/>
      <c r="HV26" s="256"/>
      <c r="HW26" s="256"/>
      <c r="HX26" s="256"/>
      <c r="HY26" s="256"/>
      <c r="HZ26" s="256"/>
      <c r="IA26" s="256"/>
      <c r="IB26" s="256"/>
      <c r="IC26" s="256"/>
      <c r="ID26" s="256"/>
      <c r="IE26" s="256"/>
      <c r="IF26" s="256"/>
      <c r="IG26" s="256"/>
      <c r="IH26" s="256"/>
      <c r="II26" s="256"/>
      <c r="IJ26" s="256"/>
      <c r="IK26" s="256"/>
      <c r="IL26" s="256"/>
      <c r="IM26" s="256"/>
      <c r="IN26" s="256"/>
      <c r="IO26" s="256"/>
      <c r="IP26" s="256"/>
      <c r="IQ26" s="256"/>
      <c r="IR26" s="256"/>
      <c r="IS26" s="256"/>
      <c r="IT26" s="256"/>
      <c r="IU26" s="256"/>
      <c r="IV26" s="256"/>
      <c r="IW26" s="256"/>
      <c r="IX26" s="256"/>
      <c r="IY26" s="256"/>
      <c r="IZ26" s="256"/>
      <c r="JA26" s="256"/>
      <c r="JB26" s="256"/>
      <c r="JC26" s="256"/>
      <c r="JD26" s="256"/>
      <c r="JE26" s="256"/>
      <c r="JF26" s="256"/>
      <c r="JG26" s="256"/>
      <c r="JH26" s="256"/>
      <c r="JI26" s="256"/>
      <c r="JJ26" s="256"/>
      <c r="JK26" s="256"/>
      <c r="JL26" s="256"/>
      <c r="JM26" s="256"/>
      <c r="JN26" s="256"/>
      <c r="JO26" s="256"/>
      <c r="JP26" s="256"/>
      <c r="JQ26" s="256"/>
      <c r="JR26" s="256"/>
      <c r="JS26" s="256"/>
      <c r="JT26" s="256"/>
      <c r="JU26" s="256"/>
      <c r="JV26" s="256"/>
      <c r="JW26" s="256"/>
      <c r="JX26" s="256"/>
      <c r="JY26" s="256"/>
      <c r="JZ26" s="256"/>
      <c r="KA26" s="256"/>
      <c r="KB26" s="256"/>
      <c r="KC26" s="256"/>
      <c r="KD26" s="256"/>
      <c r="KE26" s="256"/>
      <c r="KF26" s="256"/>
      <c r="KG26" s="256"/>
      <c r="KH26" s="256"/>
      <c r="KI26" s="256"/>
      <c r="KJ26" s="256"/>
      <c r="KK26" s="256"/>
      <c r="KL26" s="256"/>
      <c r="KM26" s="256"/>
      <c r="KN26" s="256"/>
      <c r="KO26" s="256"/>
      <c r="KP26" s="256"/>
      <c r="KQ26" s="256"/>
      <c r="KR26" s="256"/>
      <c r="KS26" s="256"/>
      <c r="KT26" s="256"/>
      <c r="KU26" s="256"/>
      <c r="KV26" s="256"/>
      <c r="KW26" s="256"/>
      <c r="KX26" s="256"/>
      <c r="KY26" s="256"/>
      <c r="KZ26" s="256"/>
      <c r="LA26" s="256"/>
      <c r="LB26" s="256"/>
      <c r="LC26" s="256"/>
      <c r="LD26" s="256"/>
      <c r="LE26" s="256"/>
      <c r="LF26" s="256"/>
      <c r="LG26" s="256"/>
      <c r="LH26" s="256"/>
      <c r="LI26" s="256"/>
      <c r="LJ26" s="256"/>
      <c r="LK26" s="256"/>
      <c r="LL26" s="256"/>
      <c r="LM26" s="256"/>
      <c r="LN26" s="256"/>
      <c r="LO26" s="256"/>
      <c r="LP26" s="256"/>
      <c r="LQ26" s="256"/>
      <c r="LR26" s="256"/>
      <c r="LS26" s="256"/>
      <c r="LT26" s="256"/>
      <c r="LU26" s="256"/>
      <c r="LV26" s="256"/>
      <c r="LW26" s="256"/>
      <c r="LX26" s="256"/>
      <c r="LY26" s="256"/>
      <c r="LZ26" s="256"/>
      <c r="MA26" s="256"/>
      <c r="MB26" s="256"/>
      <c r="MC26" s="256"/>
      <c r="MD26" s="256"/>
      <c r="ME26" s="256"/>
      <c r="MF26" s="256"/>
      <c r="MG26" s="256"/>
      <c r="MH26" s="256"/>
      <c r="MI26" s="256"/>
      <c r="MJ26" s="256"/>
      <c r="MK26" s="256"/>
      <c r="ML26" s="256"/>
      <c r="MM26" s="256"/>
      <c r="MN26" s="256"/>
      <c r="MO26" s="256"/>
      <c r="MP26" s="256"/>
      <c r="MQ26" s="256"/>
      <c r="MR26" s="256"/>
      <c r="MS26" s="256"/>
      <c r="MT26" s="256"/>
      <c r="MU26" s="256"/>
      <c r="MV26" s="256"/>
      <c r="MW26" s="256"/>
      <c r="MX26" s="256"/>
      <c r="MY26" s="256"/>
      <c r="MZ26" s="256"/>
      <c r="NA26" s="256"/>
      <c r="NB26" s="256"/>
      <c r="NC26" s="256"/>
      <c r="ND26" s="256"/>
      <c r="NE26" s="256"/>
      <c r="NF26" s="256"/>
      <c r="NG26" s="256"/>
      <c r="NH26" s="256"/>
      <c r="NI26" s="256"/>
      <c r="NJ26" s="256"/>
      <c r="NK26" s="256"/>
      <c r="NL26" s="256"/>
      <c r="NM26" s="256"/>
      <c r="NN26" s="256"/>
      <c r="NO26" s="256"/>
      <c r="NP26" s="256"/>
      <c r="NQ26" s="256"/>
      <c r="NR26" s="256"/>
      <c r="NS26" s="256"/>
      <c r="NT26" s="256"/>
      <c r="NU26" s="256"/>
      <c r="NV26" s="256"/>
      <c r="NW26" s="256"/>
      <c r="NX26" s="256"/>
      <c r="NY26" s="256"/>
      <c r="NZ26" s="256"/>
      <c r="OA26" s="256"/>
      <c r="OB26" s="256"/>
      <c r="OC26" s="256"/>
      <c r="OD26" s="256"/>
      <c r="OE26" s="256"/>
      <c r="OF26" s="256"/>
      <c r="OG26" s="256"/>
      <c r="OH26" s="256"/>
      <c r="OI26" s="256"/>
      <c r="OJ26" s="256"/>
      <c r="OK26" s="256"/>
      <c r="OL26" s="256"/>
      <c r="OM26" s="256"/>
      <c r="ON26" s="256"/>
      <c r="OO26" s="256"/>
      <c r="OP26" s="256"/>
      <c r="OQ26" s="256"/>
      <c r="OR26" s="256"/>
      <c r="OS26" s="256"/>
      <c r="OT26" s="256"/>
      <c r="OU26" s="256"/>
      <c r="OV26" s="256"/>
      <c r="OW26" s="256"/>
      <c r="OX26" s="256"/>
      <c r="OY26" s="256"/>
      <c r="OZ26" s="256"/>
      <c r="PA26" s="256"/>
      <c r="PB26" s="256"/>
      <c r="PC26" s="256"/>
      <c r="PD26" s="256"/>
      <c r="PE26" s="256"/>
      <c r="PF26" s="256"/>
      <c r="PG26" s="256"/>
      <c r="PH26" s="256"/>
      <c r="PI26" s="256"/>
      <c r="PJ26" s="256"/>
      <c r="PK26" s="256"/>
      <c r="PL26" s="256"/>
      <c r="PM26" s="256"/>
      <c r="PN26" s="256"/>
      <c r="PO26" s="256"/>
      <c r="PP26" s="256"/>
      <c r="PQ26" s="256"/>
      <c r="PR26" s="256"/>
      <c r="PS26" s="256"/>
      <c r="PT26" s="256"/>
      <c r="PU26" s="256"/>
      <c r="PV26" s="256"/>
      <c r="PW26" s="256"/>
      <c r="PX26" s="256"/>
      <c r="PY26" s="256"/>
      <c r="PZ26" s="256"/>
      <c r="QA26" s="256"/>
      <c r="QB26" s="256"/>
      <c r="QC26" s="256"/>
      <c r="QD26" s="256"/>
      <c r="QE26" s="256"/>
      <c r="QF26" s="256"/>
      <c r="QG26" s="256"/>
      <c r="QH26" s="256"/>
    </row>
    <row r="27" spans="1:450" s="77" customFormat="1" ht="13.5" customHeight="1" x14ac:dyDescent="0.3">
      <c r="A27" s="178"/>
      <c r="B27" s="178"/>
      <c r="C27" s="84"/>
      <c r="D27" s="85"/>
      <c r="E27" s="178"/>
      <c r="F27" s="180"/>
      <c r="G27" s="178"/>
      <c r="H27" s="179"/>
      <c r="I27" s="82"/>
      <c r="K27" s="171"/>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c r="DJ27" s="256"/>
      <c r="DK27" s="256"/>
      <c r="DL27" s="256"/>
      <c r="DM27" s="256"/>
      <c r="DN27" s="256"/>
      <c r="DO27" s="256"/>
      <c r="DP27" s="256"/>
      <c r="DQ27" s="256"/>
      <c r="DR27" s="256"/>
      <c r="DS27" s="256"/>
      <c r="DT27" s="256"/>
      <c r="DU27" s="256"/>
      <c r="DV27" s="256"/>
      <c r="DW27" s="256"/>
      <c r="DX27" s="256"/>
      <c r="DY27" s="256"/>
      <c r="DZ27" s="256"/>
      <c r="EA27" s="256"/>
      <c r="EB27" s="256"/>
      <c r="EC27" s="256"/>
      <c r="ED27" s="256"/>
      <c r="EE27" s="256"/>
      <c r="EF27" s="256"/>
      <c r="EG27" s="256"/>
      <c r="EH27" s="256"/>
      <c r="EI27" s="256"/>
      <c r="EJ27" s="256"/>
      <c r="EK27" s="256"/>
      <c r="EL27" s="256"/>
      <c r="EM27" s="256"/>
      <c r="EN27" s="256"/>
      <c r="EO27" s="256"/>
      <c r="EP27" s="256"/>
      <c r="EQ27" s="256"/>
      <c r="ER27" s="256"/>
      <c r="ES27" s="256"/>
      <c r="ET27" s="256"/>
      <c r="EU27" s="256"/>
      <c r="EV27" s="256"/>
      <c r="EW27" s="256"/>
      <c r="EX27" s="256"/>
      <c r="EY27" s="256"/>
      <c r="EZ27" s="256"/>
      <c r="FA27" s="256"/>
      <c r="FB27" s="256"/>
      <c r="FC27" s="256"/>
      <c r="FD27" s="256"/>
      <c r="FE27" s="256"/>
      <c r="FF27" s="256"/>
      <c r="FG27" s="256"/>
      <c r="FH27" s="256"/>
      <c r="FI27" s="256"/>
      <c r="FJ27" s="256"/>
      <c r="FK27" s="256"/>
      <c r="FL27" s="256"/>
      <c r="FM27" s="256"/>
      <c r="FN27" s="256"/>
      <c r="FO27" s="256"/>
      <c r="FP27" s="256"/>
      <c r="FQ27" s="256"/>
      <c r="FR27" s="256"/>
      <c r="FS27" s="256"/>
      <c r="FT27" s="256"/>
      <c r="FU27" s="256"/>
      <c r="FV27" s="256"/>
      <c r="FW27" s="256"/>
      <c r="FX27" s="256"/>
      <c r="FY27" s="256"/>
      <c r="FZ27" s="256"/>
      <c r="GA27" s="256"/>
      <c r="GB27" s="256"/>
      <c r="GC27" s="256"/>
      <c r="GD27" s="256"/>
      <c r="GE27" s="256"/>
      <c r="GF27" s="256"/>
      <c r="GG27" s="256"/>
      <c r="GH27" s="256"/>
      <c r="GI27" s="256"/>
      <c r="GJ27" s="256"/>
      <c r="GK27" s="256"/>
      <c r="GL27" s="256"/>
      <c r="GM27" s="256"/>
      <c r="GN27" s="256"/>
      <c r="GO27" s="256"/>
      <c r="GP27" s="256"/>
      <c r="GQ27" s="256"/>
      <c r="GR27" s="256"/>
      <c r="GS27" s="256"/>
      <c r="GT27" s="256"/>
      <c r="GU27" s="256"/>
      <c r="GV27" s="256"/>
      <c r="GW27" s="256"/>
      <c r="GX27" s="256"/>
      <c r="GY27" s="256"/>
      <c r="GZ27" s="256"/>
      <c r="HA27" s="256"/>
      <c r="HB27" s="256"/>
      <c r="HC27" s="256"/>
      <c r="HD27" s="256"/>
      <c r="HE27" s="256"/>
      <c r="HF27" s="256"/>
      <c r="HG27" s="256"/>
      <c r="HH27" s="256"/>
      <c r="HI27" s="256"/>
      <c r="HJ27" s="256"/>
      <c r="HK27" s="256"/>
      <c r="HL27" s="256"/>
      <c r="HM27" s="256"/>
      <c r="HN27" s="256"/>
      <c r="HO27" s="256"/>
      <c r="HP27" s="256"/>
      <c r="HQ27" s="256"/>
      <c r="HR27" s="256"/>
      <c r="HS27" s="256"/>
      <c r="HT27" s="256"/>
      <c r="HU27" s="256"/>
      <c r="HV27" s="256"/>
      <c r="HW27" s="256"/>
      <c r="HX27" s="256"/>
      <c r="HY27" s="256"/>
      <c r="HZ27" s="256"/>
      <c r="IA27" s="256"/>
      <c r="IB27" s="256"/>
      <c r="IC27" s="256"/>
      <c r="ID27" s="256"/>
      <c r="IE27" s="256"/>
      <c r="IF27" s="256"/>
      <c r="IG27" s="256"/>
      <c r="IH27" s="256"/>
      <c r="II27" s="256"/>
      <c r="IJ27" s="256"/>
      <c r="IK27" s="256"/>
      <c r="IL27" s="256"/>
      <c r="IM27" s="256"/>
      <c r="IN27" s="256"/>
      <c r="IO27" s="256"/>
      <c r="IP27" s="256"/>
      <c r="IQ27" s="256"/>
      <c r="IR27" s="256"/>
      <c r="IS27" s="256"/>
      <c r="IT27" s="256"/>
      <c r="IU27" s="256"/>
      <c r="IV27" s="256"/>
      <c r="IW27" s="256"/>
      <c r="IX27" s="256"/>
      <c r="IY27" s="256"/>
      <c r="IZ27" s="256"/>
      <c r="JA27" s="256"/>
      <c r="JB27" s="256"/>
      <c r="JC27" s="256"/>
      <c r="JD27" s="256"/>
      <c r="JE27" s="256"/>
      <c r="JF27" s="256"/>
      <c r="JG27" s="256"/>
      <c r="JH27" s="256"/>
      <c r="JI27" s="256"/>
      <c r="JJ27" s="256"/>
      <c r="JK27" s="256"/>
      <c r="JL27" s="256"/>
      <c r="JM27" s="256"/>
      <c r="JN27" s="256"/>
      <c r="JO27" s="256"/>
      <c r="JP27" s="256"/>
      <c r="JQ27" s="256"/>
      <c r="JR27" s="256"/>
      <c r="JS27" s="256"/>
      <c r="JT27" s="256"/>
      <c r="JU27" s="256"/>
      <c r="JV27" s="256"/>
      <c r="JW27" s="256"/>
      <c r="JX27" s="256"/>
      <c r="JY27" s="256"/>
      <c r="JZ27" s="256"/>
      <c r="KA27" s="256"/>
      <c r="KB27" s="256"/>
      <c r="KC27" s="256"/>
      <c r="KD27" s="256"/>
      <c r="KE27" s="256"/>
      <c r="KF27" s="256"/>
      <c r="KG27" s="256"/>
      <c r="KH27" s="256"/>
      <c r="KI27" s="256"/>
      <c r="KJ27" s="256"/>
      <c r="KK27" s="256"/>
      <c r="KL27" s="256"/>
      <c r="KM27" s="256"/>
      <c r="KN27" s="256"/>
      <c r="KO27" s="256"/>
      <c r="KP27" s="256"/>
      <c r="KQ27" s="256"/>
      <c r="KR27" s="256"/>
      <c r="KS27" s="256"/>
      <c r="KT27" s="256"/>
      <c r="KU27" s="256"/>
      <c r="KV27" s="256"/>
      <c r="KW27" s="256"/>
      <c r="KX27" s="256"/>
      <c r="KY27" s="256"/>
      <c r="KZ27" s="256"/>
      <c r="LA27" s="256"/>
      <c r="LB27" s="256"/>
      <c r="LC27" s="256"/>
      <c r="LD27" s="256"/>
      <c r="LE27" s="256"/>
      <c r="LF27" s="256"/>
      <c r="LG27" s="256"/>
      <c r="LH27" s="256"/>
      <c r="LI27" s="256"/>
      <c r="LJ27" s="256"/>
      <c r="LK27" s="256"/>
      <c r="LL27" s="256"/>
      <c r="LM27" s="256"/>
      <c r="LN27" s="256"/>
      <c r="LO27" s="256"/>
      <c r="LP27" s="256"/>
      <c r="LQ27" s="256"/>
      <c r="LR27" s="256"/>
      <c r="LS27" s="256"/>
      <c r="LT27" s="256"/>
      <c r="LU27" s="256"/>
      <c r="LV27" s="256"/>
      <c r="LW27" s="256"/>
      <c r="LX27" s="256"/>
      <c r="LY27" s="256"/>
      <c r="LZ27" s="256"/>
      <c r="MA27" s="256"/>
      <c r="MB27" s="256"/>
      <c r="MC27" s="256"/>
      <c r="MD27" s="256"/>
      <c r="ME27" s="256"/>
      <c r="MF27" s="256"/>
      <c r="MG27" s="256"/>
      <c r="MH27" s="256"/>
      <c r="MI27" s="256"/>
      <c r="MJ27" s="256"/>
      <c r="MK27" s="256"/>
      <c r="ML27" s="256"/>
      <c r="MM27" s="256"/>
      <c r="MN27" s="256"/>
      <c r="MO27" s="256"/>
      <c r="MP27" s="256"/>
      <c r="MQ27" s="256"/>
      <c r="MR27" s="256"/>
      <c r="MS27" s="256"/>
      <c r="MT27" s="256"/>
      <c r="MU27" s="256"/>
      <c r="MV27" s="256"/>
      <c r="MW27" s="256"/>
      <c r="MX27" s="256"/>
      <c r="MY27" s="256"/>
      <c r="MZ27" s="256"/>
      <c r="NA27" s="256"/>
      <c r="NB27" s="256"/>
      <c r="NC27" s="256"/>
      <c r="ND27" s="256"/>
      <c r="NE27" s="256"/>
      <c r="NF27" s="256"/>
      <c r="NG27" s="256"/>
      <c r="NH27" s="256"/>
      <c r="NI27" s="256"/>
      <c r="NJ27" s="256"/>
      <c r="NK27" s="256"/>
      <c r="NL27" s="256"/>
      <c r="NM27" s="256"/>
      <c r="NN27" s="256"/>
      <c r="NO27" s="256"/>
      <c r="NP27" s="256"/>
      <c r="NQ27" s="256"/>
      <c r="NR27" s="256"/>
      <c r="NS27" s="256"/>
      <c r="NT27" s="256"/>
      <c r="NU27" s="256"/>
      <c r="NV27" s="256"/>
      <c r="NW27" s="256"/>
      <c r="NX27" s="256"/>
      <c r="NY27" s="256"/>
      <c r="NZ27" s="256"/>
      <c r="OA27" s="256"/>
      <c r="OB27" s="256"/>
      <c r="OC27" s="256"/>
      <c r="OD27" s="256"/>
      <c r="OE27" s="256"/>
      <c r="OF27" s="256"/>
      <c r="OG27" s="256"/>
      <c r="OH27" s="256"/>
      <c r="OI27" s="256"/>
      <c r="OJ27" s="256"/>
      <c r="OK27" s="256"/>
      <c r="OL27" s="256"/>
      <c r="OM27" s="256"/>
      <c r="ON27" s="256"/>
      <c r="OO27" s="256"/>
      <c r="OP27" s="256"/>
      <c r="OQ27" s="256"/>
      <c r="OR27" s="256"/>
      <c r="OS27" s="256"/>
      <c r="OT27" s="256"/>
      <c r="OU27" s="256"/>
      <c r="OV27" s="256"/>
      <c r="OW27" s="256"/>
      <c r="OX27" s="256"/>
      <c r="OY27" s="256"/>
      <c r="OZ27" s="256"/>
      <c r="PA27" s="256"/>
      <c r="PB27" s="256"/>
      <c r="PC27" s="256"/>
      <c r="PD27" s="256"/>
      <c r="PE27" s="256"/>
      <c r="PF27" s="256"/>
      <c r="PG27" s="256"/>
      <c r="PH27" s="256"/>
      <c r="PI27" s="256"/>
      <c r="PJ27" s="256"/>
      <c r="PK27" s="256"/>
      <c r="PL27" s="256"/>
      <c r="PM27" s="256"/>
      <c r="PN27" s="256"/>
      <c r="PO27" s="256"/>
      <c r="PP27" s="256"/>
      <c r="PQ27" s="256"/>
      <c r="PR27" s="256"/>
      <c r="PS27" s="256"/>
      <c r="PT27" s="256"/>
      <c r="PU27" s="256"/>
      <c r="PV27" s="256"/>
      <c r="PW27" s="256"/>
      <c r="PX27" s="256"/>
      <c r="PY27" s="256"/>
      <c r="PZ27" s="256"/>
      <c r="QA27" s="256"/>
      <c r="QB27" s="256"/>
      <c r="QC27" s="256"/>
      <c r="QD27" s="256"/>
      <c r="QE27" s="256"/>
      <c r="QF27" s="256"/>
      <c r="QG27" s="256"/>
      <c r="QH27" s="256"/>
    </row>
    <row r="28" spans="1:450" s="77" customFormat="1" x14ac:dyDescent="0.25">
      <c r="A28" s="81" t="s">
        <v>179</v>
      </c>
      <c r="B28" s="81" t="s">
        <v>228</v>
      </c>
      <c r="C28" s="81" t="s">
        <v>204</v>
      </c>
      <c r="D28" s="87">
        <v>2474</v>
      </c>
      <c r="E28" s="85">
        <v>0.75</v>
      </c>
      <c r="F28" s="169">
        <f>D28*E28</f>
        <v>1855.5</v>
      </c>
      <c r="G28" s="85">
        <v>0.25</v>
      </c>
      <c r="H28" s="86">
        <f t="shared" si="1"/>
        <v>618.5</v>
      </c>
      <c r="I28" s="82"/>
      <c r="J28" s="170">
        <f t="shared" si="2"/>
        <v>22266</v>
      </c>
      <c r="K28" s="172">
        <f t="shared" ref="K28:L31" si="4">J28</f>
        <v>22266</v>
      </c>
      <c r="L28" s="285">
        <f t="shared" si="4"/>
        <v>22266</v>
      </c>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c r="PC28" s="256"/>
      <c r="PD28" s="256"/>
      <c r="PE28" s="256"/>
      <c r="PF28" s="256"/>
      <c r="PG28" s="256"/>
      <c r="PH28" s="256"/>
      <c r="PI28" s="256"/>
      <c r="PJ28" s="256"/>
      <c r="PK28" s="256"/>
      <c r="PL28" s="256"/>
      <c r="PM28" s="256"/>
      <c r="PN28" s="256"/>
      <c r="PO28" s="256"/>
      <c r="PP28" s="256"/>
      <c r="PQ28" s="256"/>
      <c r="PR28" s="256"/>
      <c r="PS28" s="256"/>
      <c r="PT28" s="256"/>
      <c r="PU28" s="256"/>
      <c r="PV28" s="256"/>
      <c r="PW28" s="256"/>
      <c r="PX28" s="256"/>
      <c r="PY28" s="256"/>
      <c r="PZ28" s="256"/>
      <c r="QA28" s="256"/>
      <c r="QB28" s="256"/>
      <c r="QC28" s="256"/>
      <c r="QD28" s="256"/>
      <c r="QE28" s="256"/>
      <c r="QF28" s="256"/>
      <c r="QG28" s="256"/>
      <c r="QH28" s="256"/>
    </row>
    <row r="29" spans="1:450" s="77" customFormat="1" x14ac:dyDescent="0.25">
      <c r="A29" s="81" t="s">
        <v>206</v>
      </c>
      <c r="B29" s="81" t="s">
        <v>238</v>
      </c>
      <c r="C29" s="81" t="s">
        <v>208</v>
      </c>
      <c r="D29" s="87">
        <v>1121</v>
      </c>
      <c r="E29" s="85">
        <v>0.75</v>
      </c>
      <c r="F29" s="169">
        <f t="shared" ref="F29:F42" si="5">D29*E29</f>
        <v>840.75</v>
      </c>
      <c r="G29" s="85">
        <v>0.25</v>
      </c>
      <c r="H29" s="86">
        <f t="shared" si="1"/>
        <v>280.25</v>
      </c>
      <c r="I29" s="82"/>
      <c r="J29" s="170">
        <f t="shared" si="2"/>
        <v>10089</v>
      </c>
      <c r="K29" s="172">
        <f t="shared" si="4"/>
        <v>10089</v>
      </c>
      <c r="L29" s="285">
        <f t="shared" si="4"/>
        <v>10089</v>
      </c>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c r="PC29" s="256"/>
      <c r="PD29" s="256"/>
      <c r="PE29" s="256"/>
      <c r="PF29" s="256"/>
      <c r="PG29" s="256"/>
      <c r="PH29" s="256"/>
      <c r="PI29" s="256"/>
      <c r="PJ29" s="256"/>
      <c r="PK29" s="256"/>
      <c r="PL29" s="256"/>
      <c r="PM29" s="256"/>
      <c r="PN29" s="256"/>
      <c r="PO29" s="256"/>
      <c r="PP29" s="256"/>
      <c r="PQ29" s="256"/>
      <c r="PR29" s="256"/>
      <c r="PS29" s="256"/>
      <c r="PT29" s="256"/>
      <c r="PU29" s="256"/>
      <c r="PV29" s="256"/>
      <c r="PW29" s="256"/>
      <c r="PX29" s="256"/>
      <c r="PY29" s="256"/>
      <c r="PZ29" s="256"/>
      <c r="QA29" s="256"/>
      <c r="QB29" s="256"/>
      <c r="QC29" s="256"/>
      <c r="QD29" s="256"/>
      <c r="QE29" s="256"/>
      <c r="QF29" s="256"/>
      <c r="QG29" s="256"/>
      <c r="QH29" s="256"/>
    </row>
    <row r="30" spans="1:450" s="77" customFormat="1" x14ac:dyDescent="0.25">
      <c r="A30" s="81" t="s">
        <v>206</v>
      </c>
      <c r="B30" s="81" t="s">
        <v>235</v>
      </c>
      <c r="C30" s="81" t="s">
        <v>207</v>
      </c>
      <c r="D30" s="87">
        <v>1121</v>
      </c>
      <c r="E30" s="85">
        <v>0.75</v>
      </c>
      <c r="F30" s="169">
        <f t="shared" si="5"/>
        <v>840.75</v>
      </c>
      <c r="G30" s="85">
        <v>0.25</v>
      </c>
      <c r="H30" s="86">
        <f t="shared" si="1"/>
        <v>280.25</v>
      </c>
      <c r="I30" s="82"/>
      <c r="J30" s="170">
        <f t="shared" si="2"/>
        <v>10089</v>
      </c>
      <c r="K30" s="172">
        <f t="shared" si="4"/>
        <v>10089</v>
      </c>
      <c r="L30" s="285">
        <f t="shared" si="4"/>
        <v>10089</v>
      </c>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c r="PC30" s="256"/>
      <c r="PD30" s="256"/>
      <c r="PE30" s="256"/>
      <c r="PF30" s="256"/>
      <c r="PG30" s="256"/>
      <c r="PH30" s="256"/>
      <c r="PI30" s="256"/>
      <c r="PJ30" s="256"/>
      <c r="PK30" s="256"/>
      <c r="PL30" s="256"/>
      <c r="PM30" s="256"/>
      <c r="PN30" s="256"/>
      <c r="PO30" s="256"/>
      <c r="PP30" s="256"/>
      <c r="PQ30" s="256"/>
      <c r="PR30" s="256"/>
      <c r="PS30" s="256"/>
      <c r="PT30" s="256"/>
      <c r="PU30" s="256"/>
      <c r="PV30" s="256"/>
      <c r="PW30" s="256"/>
      <c r="PX30" s="256"/>
      <c r="PY30" s="256"/>
      <c r="PZ30" s="256"/>
      <c r="QA30" s="256"/>
      <c r="QB30" s="256"/>
      <c r="QC30" s="256"/>
      <c r="QD30" s="256"/>
      <c r="QE30" s="256"/>
      <c r="QF30" s="256"/>
      <c r="QG30" s="256"/>
      <c r="QH30" s="256"/>
    </row>
    <row r="31" spans="1:450" s="77" customFormat="1" x14ac:dyDescent="0.25">
      <c r="A31" s="81" t="s">
        <v>179</v>
      </c>
      <c r="B31" s="81" t="s">
        <v>232</v>
      </c>
      <c r="C31" s="81" t="s">
        <v>1465</v>
      </c>
      <c r="D31" s="87">
        <v>2808</v>
      </c>
      <c r="E31" s="85">
        <v>0.75</v>
      </c>
      <c r="F31" s="169">
        <f t="shared" si="5"/>
        <v>2106</v>
      </c>
      <c r="G31" s="85">
        <v>0.25</v>
      </c>
      <c r="H31" s="86">
        <f t="shared" si="1"/>
        <v>702</v>
      </c>
      <c r="I31" s="82"/>
      <c r="J31" s="170">
        <f t="shared" si="2"/>
        <v>25272</v>
      </c>
      <c r="K31" s="172">
        <f t="shared" si="4"/>
        <v>25272</v>
      </c>
      <c r="L31" s="285">
        <f t="shared" si="4"/>
        <v>25272</v>
      </c>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c r="PC31" s="256"/>
      <c r="PD31" s="256"/>
      <c r="PE31" s="256"/>
      <c r="PF31" s="256"/>
      <c r="PG31" s="256"/>
      <c r="PH31" s="256"/>
      <c r="PI31" s="256"/>
      <c r="PJ31" s="256"/>
      <c r="PK31" s="256"/>
      <c r="PL31" s="256"/>
      <c r="PM31" s="256"/>
      <c r="PN31" s="256"/>
      <c r="PO31" s="256"/>
      <c r="PP31" s="256"/>
      <c r="PQ31" s="256"/>
      <c r="PR31" s="256"/>
      <c r="PS31" s="256"/>
      <c r="PT31" s="256"/>
      <c r="PU31" s="256"/>
      <c r="PV31" s="256"/>
      <c r="PW31" s="256"/>
      <c r="PX31" s="256"/>
      <c r="PY31" s="256"/>
      <c r="PZ31" s="256"/>
      <c r="QA31" s="256"/>
      <c r="QB31" s="256"/>
      <c r="QC31" s="256"/>
      <c r="QD31" s="256"/>
      <c r="QE31" s="256"/>
      <c r="QF31" s="256"/>
      <c r="QG31" s="256"/>
      <c r="QH31" s="256"/>
    </row>
    <row r="32" spans="1:450" s="77" customFormat="1" ht="13.5" customHeight="1" x14ac:dyDescent="0.3">
      <c r="A32" s="178"/>
      <c r="B32" s="178"/>
      <c r="C32" s="84"/>
      <c r="D32" s="85"/>
      <c r="E32" s="178"/>
      <c r="F32" s="180"/>
      <c r="G32" s="178"/>
      <c r="H32" s="179"/>
      <c r="I32" s="82"/>
      <c r="K32" s="171"/>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c r="PC32" s="256"/>
      <c r="PD32" s="256"/>
      <c r="PE32" s="256"/>
      <c r="PF32" s="256"/>
      <c r="PG32" s="256"/>
      <c r="PH32" s="256"/>
      <c r="PI32" s="256"/>
      <c r="PJ32" s="256"/>
      <c r="PK32" s="256"/>
      <c r="PL32" s="256"/>
      <c r="PM32" s="256"/>
      <c r="PN32" s="256"/>
      <c r="PO32" s="256"/>
      <c r="PP32" s="256"/>
      <c r="PQ32" s="256"/>
      <c r="PR32" s="256"/>
      <c r="PS32" s="256"/>
      <c r="PT32" s="256"/>
      <c r="PU32" s="256"/>
      <c r="PV32" s="256"/>
      <c r="PW32" s="256"/>
      <c r="PX32" s="256"/>
      <c r="PY32" s="256"/>
      <c r="PZ32" s="256"/>
      <c r="QA32" s="256"/>
      <c r="QB32" s="256"/>
      <c r="QC32" s="256"/>
      <c r="QD32" s="256"/>
      <c r="QE32" s="256"/>
      <c r="QF32" s="256"/>
      <c r="QG32" s="256"/>
      <c r="QH32" s="256"/>
    </row>
    <row r="33" spans="1:450" s="77" customFormat="1" x14ac:dyDescent="0.25">
      <c r="A33" s="81" t="s">
        <v>202</v>
      </c>
      <c r="B33" s="81" t="s">
        <v>233</v>
      </c>
      <c r="C33" s="81" t="s">
        <v>194</v>
      </c>
      <c r="D33" s="87">
        <v>1121</v>
      </c>
      <c r="E33" s="85">
        <v>0.75</v>
      </c>
      <c r="F33" s="169">
        <f t="shared" si="5"/>
        <v>840.75</v>
      </c>
      <c r="G33" s="85">
        <v>0.25</v>
      </c>
      <c r="H33" s="86">
        <f t="shared" si="1"/>
        <v>280.25</v>
      </c>
      <c r="I33" s="82"/>
      <c r="J33" s="170">
        <f t="shared" si="2"/>
        <v>10089</v>
      </c>
      <c r="K33" s="172"/>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c r="PC33" s="256"/>
      <c r="PD33" s="256"/>
      <c r="PE33" s="256"/>
      <c r="PF33" s="256"/>
      <c r="PG33" s="256"/>
      <c r="PH33" s="256"/>
      <c r="PI33" s="256"/>
      <c r="PJ33" s="256"/>
      <c r="PK33" s="256"/>
      <c r="PL33" s="256"/>
      <c r="PM33" s="256"/>
      <c r="PN33" s="256"/>
      <c r="PO33" s="256"/>
      <c r="PP33" s="256"/>
      <c r="PQ33" s="256"/>
      <c r="PR33" s="256"/>
      <c r="PS33" s="256"/>
      <c r="PT33" s="256"/>
      <c r="PU33" s="256"/>
      <c r="PV33" s="256"/>
      <c r="PW33" s="256"/>
      <c r="PX33" s="256"/>
      <c r="PY33" s="256"/>
      <c r="PZ33" s="256"/>
      <c r="QA33" s="256"/>
      <c r="QB33" s="256"/>
      <c r="QC33" s="256"/>
      <c r="QD33" s="256"/>
      <c r="QE33" s="256"/>
      <c r="QF33" s="256"/>
      <c r="QG33" s="256"/>
      <c r="QH33" s="256"/>
    </row>
    <row r="34" spans="1:450" s="77" customFormat="1" x14ac:dyDescent="0.25">
      <c r="A34" s="81" t="s">
        <v>179</v>
      </c>
      <c r="B34" s="81" t="s">
        <v>1308</v>
      </c>
      <c r="C34" s="81" t="s">
        <v>194</v>
      </c>
      <c r="D34" s="87"/>
      <c r="E34" s="85">
        <v>0.75</v>
      </c>
      <c r="F34" s="169">
        <f t="shared" si="5"/>
        <v>0</v>
      </c>
      <c r="G34" s="85">
        <v>0.25</v>
      </c>
      <c r="H34" s="86">
        <f t="shared" si="1"/>
        <v>0</v>
      </c>
      <c r="I34" s="82"/>
      <c r="J34" s="170">
        <f t="shared" si="2"/>
        <v>0</v>
      </c>
      <c r="K34" s="172"/>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c r="PC34" s="256"/>
      <c r="PD34" s="256"/>
      <c r="PE34" s="256"/>
      <c r="PF34" s="256"/>
      <c r="PG34" s="256"/>
      <c r="PH34" s="256"/>
      <c r="PI34" s="256"/>
      <c r="PJ34" s="256"/>
      <c r="PK34" s="256"/>
      <c r="PL34" s="256"/>
      <c r="PM34" s="256"/>
      <c r="PN34" s="256"/>
      <c r="PO34" s="256"/>
      <c r="PP34" s="256"/>
      <c r="PQ34" s="256"/>
      <c r="PR34" s="256"/>
      <c r="PS34" s="256"/>
      <c r="PT34" s="256"/>
      <c r="PU34" s="256"/>
      <c r="PV34" s="256"/>
      <c r="PW34" s="256"/>
      <c r="PX34" s="256"/>
      <c r="PY34" s="256"/>
      <c r="PZ34" s="256"/>
      <c r="QA34" s="256"/>
      <c r="QB34" s="256"/>
      <c r="QC34" s="256"/>
      <c r="QD34" s="256"/>
      <c r="QE34" s="256"/>
      <c r="QF34" s="256"/>
      <c r="QG34" s="256"/>
      <c r="QH34" s="256"/>
    </row>
    <row r="35" spans="1:450" s="77" customFormat="1" x14ac:dyDescent="0.25">
      <c r="A35" s="81" t="s">
        <v>2012</v>
      </c>
      <c r="B35" s="81" t="s">
        <v>2013</v>
      </c>
      <c r="C35" s="81" t="s">
        <v>194</v>
      </c>
      <c r="D35" s="87">
        <v>1121</v>
      </c>
      <c r="E35" s="85">
        <v>0.75</v>
      </c>
      <c r="F35" s="169">
        <f>D35*E35</f>
        <v>840.75</v>
      </c>
      <c r="G35" s="85">
        <v>0.25</v>
      </c>
      <c r="H35" s="86">
        <f>G35*D35</f>
        <v>280.25</v>
      </c>
      <c r="I35" s="82"/>
      <c r="J35" s="170">
        <f>F35*12</f>
        <v>10089</v>
      </c>
      <c r="K35" s="172"/>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c r="PC35" s="256"/>
      <c r="PD35" s="256"/>
      <c r="PE35" s="256"/>
      <c r="PF35" s="256"/>
      <c r="PG35" s="256"/>
      <c r="PH35" s="256"/>
      <c r="PI35" s="256"/>
      <c r="PJ35" s="256"/>
      <c r="PK35" s="256"/>
      <c r="PL35" s="256"/>
      <c r="PM35" s="256"/>
      <c r="PN35" s="256"/>
      <c r="PO35" s="256"/>
      <c r="PP35" s="256"/>
      <c r="PQ35" s="256"/>
      <c r="PR35" s="256"/>
      <c r="PS35" s="256"/>
      <c r="PT35" s="256"/>
      <c r="PU35" s="256"/>
      <c r="PV35" s="256"/>
      <c r="PW35" s="256"/>
      <c r="PX35" s="256"/>
      <c r="PY35" s="256"/>
      <c r="PZ35" s="256"/>
      <c r="QA35" s="256"/>
      <c r="QB35" s="256"/>
      <c r="QC35" s="256"/>
      <c r="QD35" s="256"/>
      <c r="QE35" s="256"/>
      <c r="QF35" s="256"/>
      <c r="QG35" s="256"/>
      <c r="QH35" s="256"/>
    </row>
    <row r="36" spans="1:450" s="77" customFormat="1" x14ac:dyDescent="0.25">
      <c r="A36" s="81" t="s">
        <v>179</v>
      </c>
      <c r="B36" s="81" t="s">
        <v>241</v>
      </c>
      <c r="C36" s="81" t="s">
        <v>194</v>
      </c>
      <c r="D36" s="87">
        <v>2808</v>
      </c>
      <c r="E36" s="85">
        <v>0.75</v>
      </c>
      <c r="F36" s="169">
        <f t="shared" si="5"/>
        <v>2106</v>
      </c>
      <c r="G36" s="85">
        <v>0.25</v>
      </c>
      <c r="H36" s="86">
        <f t="shared" si="1"/>
        <v>702</v>
      </c>
      <c r="I36" s="82"/>
      <c r="J36" s="170">
        <f t="shared" si="2"/>
        <v>25272</v>
      </c>
      <c r="K36" s="172">
        <f>SUM(J33:J36)</f>
        <v>45450</v>
      </c>
      <c r="L36" s="285">
        <f>K36</f>
        <v>45450</v>
      </c>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c r="PC36" s="256"/>
      <c r="PD36" s="256"/>
      <c r="PE36" s="256"/>
      <c r="PF36" s="256"/>
      <c r="PG36" s="256"/>
      <c r="PH36" s="256"/>
      <c r="PI36" s="256"/>
      <c r="PJ36" s="256"/>
      <c r="PK36" s="256"/>
      <c r="PL36" s="256"/>
      <c r="PM36" s="256"/>
      <c r="PN36" s="256"/>
      <c r="PO36" s="256"/>
      <c r="PP36" s="256"/>
      <c r="PQ36" s="256"/>
      <c r="PR36" s="256"/>
      <c r="PS36" s="256"/>
      <c r="PT36" s="256"/>
      <c r="PU36" s="256"/>
      <c r="PV36" s="256"/>
      <c r="PW36" s="256"/>
      <c r="PX36" s="256"/>
      <c r="PY36" s="256"/>
      <c r="PZ36" s="256"/>
      <c r="QA36" s="256"/>
      <c r="QB36" s="256"/>
      <c r="QC36" s="256"/>
      <c r="QD36" s="256"/>
      <c r="QE36" s="256"/>
      <c r="QF36" s="256"/>
      <c r="QG36" s="256"/>
      <c r="QH36" s="256"/>
    </row>
    <row r="37" spans="1:450" s="77" customFormat="1" ht="13.5" customHeight="1" x14ac:dyDescent="0.3">
      <c r="A37" s="178"/>
      <c r="B37" s="178"/>
      <c r="C37" s="84"/>
      <c r="D37" s="85"/>
      <c r="E37" s="178"/>
      <c r="F37" s="180"/>
      <c r="G37" s="178"/>
      <c r="H37" s="179"/>
      <c r="I37" s="82"/>
      <c r="K37" s="171"/>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c r="DJ37" s="256"/>
      <c r="DK37" s="256"/>
      <c r="DL37" s="256"/>
      <c r="DM37" s="256"/>
      <c r="DN37" s="256"/>
      <c r="DO37" s="256"/>
      <c r="DP37" s="256"/>
      <c r="DQ37" s="256"/>
      <c r="DR37" s="256"/>
      <c r="DS37" s="256"/>
      <c r="DT37" s="256"/>
      <c r="DU37" s="256"/>
      <c r="DV37" s="256"/>
      <c r="DW37" s="256"/>
      <c r="DX37" s="256"/>
      <c r="DY37" s="256"/>
      <c r="DZ37" s="256"/>
      <c r="EA37" s="256"/>
      <c r="EB37" s="256"/>
      <c r="EC37" s="256"/>
      <c r="ED37" s="256"/>
      <c r="EE37" s="256"/>
      <c r="EF37" s="256"/>
      <c r="EG37" s="256"/>
      <c r="EH37" s="256"/>
      <c r="EI37" s="256"/>
      <c r="EJ37" s="256"/>
      <c r="EK37" s="256"/>
      <c r="EL37" s="256"/>
      <c r="EM37" s="256"/>
      <c r="EN37" s="256"/>
      <c r="EO37" s="256"/>
      <c r="EP37" s="256"/>
      <c r="EQ37" s="256"/>
      <c r="ER37" s="256"/>
      <c r="ES37" s="256"/>
      <c r="ET37" s="256"/>
      <c r="EU37" s="256"/>
      <c r="EV37" s="256"/>
      <c r="EW37" s="256"/>
      <c r="EX37" s="256"/>
      <c r="EY37" s="256"/>
      <c r="EZ37" s="256"/>
      <c r="FA37" s="256"/>
      <c r="FB37" s="256"/>
      <c r="FC37" s="256"/>
      <c r="FD37" s="256"/>
      <c r="FE37" s="256"/>
      <c r="FF37" s="256"/>
      <c r="FG37" s="256"/>
      <c r="FH37" s="256"/>
      <c r="FI37" s="256"/>
      <c r="FJ37" s="256"/>
      <c r="FK37" s="256"/>
      <c r="FL37" s="256"/>
      <c r="FM37" s="256"/>
      <c r="FN37" s="256"/>
      <c r="FO37" s="256"/>
      <c r="FP37" s="256"/>
      <c r="FQ37" s="256"/>
      <c r="FR37" s="256"/>
      <c r="FS37" s="256"/>
      <c r="FT37" s="256"/>
      <c r="FU37" s="256"/>
      <c r="FV37" s="256"/>
      <c r="FW37" s="256"/>
      <c r="FX37" s="256"/>
      <c r="FY37" s="256"/>
      <c r="FZ37" s="256"/>
      <c r="GA37" s="256"/>
      <c r="GB37" s="256"/>
      <c r="GC37" s="256"/>
      <c r="GD37" s="256"/>
      <c r="GE37" s="256"/>
      <c r="GF37" s="256"/>
      <c r="GG37" s="256"/>
      <c r="GH37" s="256"/>
      <c r="GI37" s="256"/>
      <c r="GJ37" s="256"/>
      <c r="GK37" s="256"/>
      <c r="GL37" s="256"/>
      <c r="GM37" s="256"/>
      <c r="GN37" s="256"/>
      <c r="GO37" s="256"/>
      <c r="GP37" s="256"/>
      <c r="GQ37" s="256"/>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256"/>
      <c r="HU37" s="256"/>
      <c r="HV37" s="256"/>
      <c r="HW37" s="256"/>
      <c r="HX37" s="256"/>
      <c r="HY37" s="256"/>
      <c r="HZ37" s="256"/>
      <c r="IA37" s="256"/>
      <c r="IB37" s="256"/>
      <c r="IC37" s="256"/>
      <c r="ID37" s="256"/>
      <c r="IE37" s="256"/>
      <c r="IF37" s="256"/>
      <c r="IG37" s="256"/>
      <c r="IH37" s="256"/>
      <c r="II37" s="256"/>
      <c r="IJ37" s="256"/>
      <c r="IK37" s="256"/>
      <c r="IL37" s="256"/>
      <c r="IM37" s="256"/>
      <c r="IN37" s="256"/>
      <c r="IO37" s="256"/>
      <c r="IP37" s="256"/>
      <c r="IQ37" s="256"/>
      <c r="IR37" s="256"/>
      <c r="IS37" s="256"/>
      <c r="IT37" s="256"/>
      <c r="IU37" s="256"/>
      <c r="IV37" s="256"/>
      <c r="IW37" s="256"/>
      <c r="IX37" s="256"/>
      <c r="IY37" s="256"/>
      <c r="IZ37" s="256"/>
      <c r="JA37" s="256"/>
      <c r="JB37" s="256"/>
      <c r="JC37" s="256"/>
      <c r="JD37" s="256"/>
      <c r="JE37" s="256"/>
      <c r="JF37" s="256"/>
      <c r="JG37" s="256"/>
      <c r="JH37" s="256"/>
      <c r="JI37" s="256"/>
      <c r="JJ37" s="256"/>
      <c r="JK37" s="256"/>
      <c r="JL37" s="256"/>
      <c r="JM37" s="256"/>
      <c r="JN37" s="256"/>
      <c r="JO37" s="256"/>
      <c r="JP37" s="256"/>
      <c r="JQ37" s="256"/>
      <c r="JR37" s="256"/>
      <c r="JS37" s="256"/>
      <c r="JT37" s="256"/>
      <c r="JU37" s="256"/>
      <c r="JV37" s="256"/>
      <c r="JW37" s="256"/>
      <c r="JX37" s="256"/>
      <c r="JY37" s="256"/>
      <c r="JZ37" s="256"/>
      <c r="KA37" s="256"/>
      <c r="KB37" s="256"/>
      <c r="KC37" s="256"/>
      <c r="KD37" s="256"/>
      <c r="KE37" s="256"/>
      <c r="KF37" s="256"/>
      <c r="KG37" s="256"/>
      <c r="KH37" s="256"/>
      <c r="KI37" s="256"/>
      <c r="KJ37" s="256"/>
      <c r="KK37" s="256"/>
      <c r="KL37" s="256"/>
      <c r="KM37" s="256"/>
      <c r="KN37" s="256"/>
      <c r="KO37" s="256"/>
      <c r="KP37" s="256"/>
      <c r="KQ37" s="256"/>
      <c r="KR37" s="256"/>
      <c r="KS37" s="256"/>
      <c r="KT37" s="256"/>
      <c r="KU37" s="256"/>
      <c r="KV37" s="256"/>
      <c r="KW37" s="256"/>
      <c r="KX37" s="256"/>
      <c r="KY37" s="256"/>
      <c r="KZ37" s="256"/>
      <c r="LA37" s="256"/>
      <c r="LB37" s="256"/>
      <c r="LC37" s="256"/>
      <c r="LD37" s="256"/>
      <c r="LE37" s="256"/>
      <c r="LF37" s="256"/>
      <c r="LG37" s="256"/>
      <c r="LH37" s="256"/>
      <c r="LI37" s="256"/>
      <c r="LJ37" s="256"/>
      <c r="LK37" s="256"/>
      <c r="LL37" s="256"/>
      <c r="LM37" s="256"/>
      <c r="LN37" s="256"/>
      <c r="LO37" s="256"/>
      <c r="LP37" s="256"/>
      <c r="LQ37" s="256"/>
      <c r="LR37" s="256"/>
      <c r="LS37" s="256"/>
      <c r="LT37" s="256"/>
      <c r="LU37" s="256"/>
      <c r="LV37" s="256"/>
      <c r="LW37" s="256"/>
      <c r="LX37" s="256"/>
      <c r="LY37" s="256"/>
      <c r="LZ37" s="256"/>
      <c r="MA37" s="256"/>
      <c r="MB37" s="256"/>
      <c r="MC37" s="256"/>
      <c r="MD37" s="256"/>
      <c r="ME37" s="256"/>
      <c r="MF37" s="256"/>
      <c r="MG37" s="256"/>
      <c r="MH37" s="256"/>
      <c r="MI37" s="256"/>
      <c r="MJ37" s="256"/>
      <c r="MK37" s="256"/>
      <c r="ML37" s="256"/>
      <c r="MM37" s="256"/>
      <c r="MN37" s="256"/>
      <c r="MO37" s="256"/>
      <c r="MP37" s="256"/>
      <c r="MQ37" s="256"/>
      <c r="MR37" s="256"/>
      <c r="MS37" s="256"/>
      <c r="MT37" s="256"/>
      <c r="MU37" s="256"/>
      <c r="MV37" s="256"/>
      <c r="MW37" s="256"/>
      <c r="MX37" s="256"/>
      <c r="MY37" s="256"/>
      <c r="MZ37" s="256"/>
      <c r="NA37" s="256"/>
      <c r="NB37" s="256"/>
      <c r="NC37" s="256"/>
      <c r="ND37" s="256"/>
      <c r="NE37" s="256"/>
      <c r="NF37" s="256"/>
      <c r="NG37" s="256"/>
      <c r="NH37" s="256"/>
      <c r="NI37" s="256"/>
      <c r="NJ37" s="256"/>
      <c r="NK37" s="256"/>
      <c r="NL37" s="256"/>
      <c r="NM37" s="256"/>
      <c r="NN37" s="256"/>
      <c r="NO37" s="256"/>
      <c r="NP37" s="256"/>
      <c r="NQ37" s="256"/>
      <c r="NR37" s="256"/>
      <c r="NS37" s="256"/>
      <c r="NT37" s="256"/>
      <c r="NU37" s="256"/>
      <c r="NV37" s="256"/>
      <c r="NW37" s="256"/>
      <c r="NX37" s="256"/>
      <c r="NY37" s="256"/>
      <c r="NZ37" s="256"/>
      <c r="OA37" s="256"/>
      <c r="OB37" s="256"/>
      <c r="OC37" s="256"/>
      <c r="OD37" s="256"/>
      <c r="OE37" s="256"/>
      <c r="OF37" s="256"/>
      <c r="OG37" s="256"/>
      <c r="OH37" s="256"/>
      <c r="OI37" s="256"/>
      <c r="OJ37" s="256"/>
      <c r="OK37" s="256"/>
      <c r="OL37" s="256"/>
      <c r="OM37" s="256"/>
      <c r="ON37" s="256"/>
      <c r="OO37" s="256"/>
      <c r="OP37" s="256"/>
      <c r="OQ37" s="256"/>
      <c r="OR37" s="256"/>
      <c r="OS37" s="256"/>
      <c r="OT37" s="256"/>
      <c r="OU37" s="256"/>
      <c r="OV37" s="256"/>
      <c r="OW37" s="256"/>
      <c r="OX37" s="256"/>
      <c r="OY37" s="256"/>
      <c r="OZ37" s="256"/>
      <c r="PA37" s="256"/>
      <c r="PB37" s="256"/>
      <c r="PC37" s="256"/>
      <c r="PD37" s="256"/>
      <c r="PE37" s="256"/>
      <c r="PF37" s="256"/>
      <c r="PG37" s="256"/>
      <c r="PH37" s="256"/>
      <c r="PI37" s="256"/>
      <c r="PJ37" s="256"/>
      <c r="PK37" s="256"/>
      <c r="PL37" s="256"/>
      <c r="PM37" s="256"/>
      <c r="PN37" s="256"/>
      <c r="PO37" s="256"/>
      <c r="PP37" s="256"/>
      <c r="PQ37" s="256"/>
      <c r="PR37" s="256"/>
      <c r="PS37" s="256"/>
      <c r="PT37" s="256"/>
      <c r="PU37" s="256"/>
      <c r="PV37" s="256"/>
      <c r="PW37" s="256"/>
      <c r="PX37" s="256"/>
      <c r="PY37" s="256"/>
      <c r="PZ37" s="256"/>
      <c r="QA37" s="256"/>
      <c r="QB37" s="256"/>
      <c r="QC37" s="256"/>
      <c r="QD37" s="256"/>
      <c r="QE37" s="256"/>
      <c r="QF37" s="256"/>
      <c r="QG37" s="256"/>
      <c r="QH37" s="256"/>
    </row>
    <row r="38" spans="1:450" s="77" customFormat="1" x14ac:dyDescent="0.25">
      <c r="A38" s="81" t="s">
        <v>202</v>
      </c>
      <c r="B38" s="81" t="s">
        <v>1307</v>
      </c>
      <c r="C38" s="81" t="s">
        <v>203</v>
      </c>
      <c r="D38" s="87">
        <v>2345</v>
      </c>
      <c r="E38" s="85">
        <v>0.75</v>
      </c>
      <c r="F38" s="169">
        <f t="shared" si="5"/>
        <v>1758.75</v>
      </c>
      <c r="G38" s="85">
        <v>0.25</v>
      </c>
      <c r="H38" s="86">
        <f t="shared" si="1"/>
        <v>586.25</v>
      </c>
      <c r="I38" s="82"/>
      <c r="J38" s="170">
        <f t="shared" si="2"/>
        <v>21105</v>
      </c>
      <c r="K38" s="172"/>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c r="IU38" s="256"/>
      <c r="IV38" s="256"/>
      <c r="IW38" s="256"/>
      <c r="IX38" s="256"/>
      <c r="IY38" s="256"/>
      <c r="IZ38" s="256"/>
      <c r="JA38" s="256"/>
      <c r="JB38" s="256"/>
      <c r="JC38" s="256"/>
      <c r="JD38" s="256"/>
      <c r="JE38" s="256"/>
      <c r="JF38" s="256"/>
      <c r="JG38" s="256"/>
      <c r="JH38" s="256"/>
      <c r="JI38" s="256"/>
      <c r="JJ38" s="256"/>
      <c r="JK38" s="256"/>
      <c r="JL38" s="256"/>
      <c r="JM38" s="256"/>
      <c r="JN38" s="256"/>
      <c r="JO38" s="256"/>
      <c r="JP38" s="256"/>
      <c r="JQ38" s="256"/>
      <c r="JR38" s="256"/>
      <c r="JS38" s="256"/>
      <c r="JT38" s="256"/>
      <c r="JU38" s="256"/>
      <c r="JV38" s="256"/>
      <c r="JW38" s="256"/>
      <c r="JX38" s="256"/>
      <c r="JY38" s="256"/>
      <c r="JZ38" s="256"/>
      <c r="KA38" s="256"/>
      <c r="KB38" s="256"/>
      <c r="KC38" s="256"/>
      <c r="KD38" s="256"/>
      <c r="KE38" s="256"/>
      <c r="KF38" s="256"/>
      <c r="KG38" s="256"/>
      <c r="KH38" s="256"/>
      <c r="KI38" s="256"/>
      <c r="KJ38" s="256"/>
      <c r="KK38" s="256"/>
      <c r="KL38" s="256"/>
      <c r="KM38" s="256"/>
      <c r="KN38" s="256"/>
      <c r="KO38" s="256"/>
      <c r="KP38" s="256"/>
      <c r="KQ38" s="256"/>
      <c r="KR38" s="256"/>
      <c r="KS38" s="256"/>
      <c r="KT38" s="256"/>
      <c r="KU38" s="256"/>
      <c r="KV38" s="256"/>
      <c r="KW38" s="256"/>
      <c r="KX38" s="256"/>
      <c r="KY38" s="256"/>
      <c r="KZ38" s="256"/>
      <c r="LA38" s="256"/>
      <c r="LB38" s="256"/>
      <c r="LC38" s="256"/>
      <c r="LD38" s="256"/>
      <c r="LE38" s="256"/>
      <c r="LF38" s="256"/>
      <c r="LG38" s="256"/>
      <c r="LH38" s="256"/>
      <c r="LI38" s="256"/>
      <c r="LJ38" s="256"/>
      <c r="LK38" s="256"/>
      <c r="LL38" s="256"/>
      <c r="LM38" s="256"/>
      <c r="LN38" s="256"/>
      <c r="LO38" s="256"/>
      <c r="LP38" s="256"/>
      <c r="LQ38" s="256"/>
      <c r="LR38" s="256"/>
      <c r="LS38" s="256"/>
      <c r="LT38" s="256"/>
      <c r="LU38" s="256"/>
      <c r="LV38" s="256"/>
      <c r="LW38" s="256"/>
      <c r="LX38" s="256"/>
      <c r="LY38" s="256"/>
      <c r="LZ38" s="256"/>
      <c r="MA38" s="256"/>
      <c r="MB38" s="256"/>
      <c r="MC38" s="256"/>
      <c r="MD38" s="256"/>
      <c r="ME38" s="256"/>
      <c r="MF38" s="256"/>
      <c r="MG38" s="256"/>
      <c r="MH38" s="256"/>
      <c r="MI38" s="256"/>
      <c r="MJ38" s="256"/>
      <c r="MK38" s="256"/>
      <c r="ML38" s="256"/>
      <c r="MM38" s="256"/>
      <c r="MN38" s="256"/>
      <c r="MO38" s="256"/>
      <c r="MP38" s="256"/>
      <c r="MQ38" s="256"/>
      <c r="MR38" s="256"/>
      <c r="MS38" s="256"/>
      <c r="MT38" s="256"/>
      <c r="MU38" s="256"/>
      <c r="MV38" s="256"/>
      <c r="MW38" s="256"/>
      <c r="MX38" s="256"/>
      <c r="MY38" s="256"/>
      <c r="MZ38" s="256"/>
      <c r="NA38" s="256"/>
      <c r="NB38" s="256"/>
      <c r="NC38" s="256"/>
      <c r="ND38" s="256"/>
      <c r="NE38" s="256"/>
      <c r="NF38" s="256"/>
      <c r="NG38" s="256"/>
      <c r="NH38" s="256"/>
      <c r="NI38" s="256"/>
      <c r="NJ38" s="256"/>
      <c r="NK38" s="256"/>
      <c r="NL38" s="256"/>
      <c r="NM38" s="256"/>
      <c r="NN38" s="256"/>
      <c r="NO38" s="256"/>
      <c r="NP38" s="256"/>
      <c r="NQ38" s="256"/>
      <c r="NR38" s="256"/>
      <c r="NS38" s="256"/>
      <c r="NT38" s="256"/>
      <c r="NU38" s="256"/>
      <c r="NV38" s="256"/>
      <c r="NW38" s="256"/>
      <c r="NX38" s="256"/>
      <c r="NY38" s="256"/>
      <c r="NZ38" s="256"/>
      <c r="OA38" s="256"/>
      <c r="OB38" s="256"/>
      <c r="OC38" s="256"/>
      <c r="OD38" s="256"/>
      <c r="OE38" s="256"/>
      <c r="OF38" s="256"/>
      <c r="OG38" s="256"/>
      <c r="OH38" s="256"/>
      <c r="OI38" s="256"/>
      <c r="OJ38" s="256"/>
      <c r="OK38" s="256"/>
      <c r="OL38" s="256"/>
      <c r="OM38" s="256"/>
      <c r="ON38" s="256"/>
      <c r="OO38" s="256"/>
      <c r="OP38" s="256"/>
      <c r="OQ38" s="256"/>
      <c r="OR38" s="256"/>
      <c r="OS38" s="256"/>
      <c r="OT38" s="256"/>
      <c r="OU38" s="256"/>
      <c r="OV38" s="256"/>
      <c r="OW38" s="256"/>
      <c r="OX38" s="256"/>
      <c r="OY38" s="256"/>
      <c r="OZ38" s="256"/>
      <c r="PA38" s="256"/>
      <c r="PB38" s="256"/>
      <c r="PC38" s="256"/>
      <c r="PD38" s="256"/>
      <c r="PE38" s="256"/>
      <c r="PF38" s="256"/>
      <c r="PG38" s="256"/>
      <c r="PH38" s="256"/>
      <c r="PI38" s="256"/>
      <c r="PJ38" s="256"/>
      <c r="PK38" s="256"/>
      <c r="PL38" s="256"/>
      <c r="PM38" s="256"/>
      <c r="PN38" s="256"/>
      <c r="PO38" s="256"/>
      <c r="PP38" s="256"/>
      <c r="PQ38" s="256"/>
      <c r="PR38" s="256"/>
      <c r="PS38" s="256"/>
      <c r="PT38" s="256"/>
      <c r="PU38" s="256"/>
      <c r="PV38" s="256"/>
      <c r="PW38" s="256"/>
      <c r="PX38" s="256"/>
      <c r="PY38" s="256"/>
      <c r="PZ38" s="256"/>
      <c r="QA38" s="256"/>
      <c r="QB38" s="256"/>
      <c r="QC38" s="256"/>
      <c r="QD38" s="256"/>
      <c r="QE38" s="256"/>
      <c r="QF38" s="256"/>
      <c r="QG38" s="256"/>
      <c r="QH38" s="256"/>
    </row>
    <row r="39" spans="1:450" s="77" customFormat="1" x14ac:dyDescent="0.25">
      <c r="A39" s="81" t="s">
        <v>202</v>
      </c>
      <c r="B39" s="81" t="s">
        <v>1402</v>
      </c>
      <c r="C39" s="81" t="s">
        <v>203</v>
      </c>
      <c r="D39" s="87">
        <v>2808</v>
      </c>
      <c r="E39" s="85">
        <v>0.75</v>
      </c>
      <c r="F39" s="169">
        <f>D39*E39</f>
        <v>2106</v>
      </c>
      <c r="G39" s="85">
        <v>0.25</v>
      </c>
      <c r="H39" s="86">
        <f>G39*D39</f>
        <v>702</v>
      </c>
      <c r="I39" s="82"/>
      <c r="J39" s="170">
        <f>F39*12</f>
        <v>25272</v>
      </c>
      <c r="K39" s="172"/>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c r="IU39" s="256"/>
      <c r="IV39" s="256"/>
      <c r="IW39" s="256"/>
      <c r="IX39" s="256"/>
      <c r="IY39" s="256"/>
      <c r="IZ39" s="256"/>
      <c r="JA39" s="256"/>
      <c r="JB39" s="256"/>
      <c r="JC39" s="256"/>
      <c r="JD39" s="256"/>
      <c r="JE39" s="256"/>
      <c r="JF39" s="256"/>
      <c r="JG39" s="256"/>
      <c r="JH39" s="256"/>
      <c r="JI39" s="256"/>
      <c r="JJ39" s="256"/>
      <c r="JK39" s="256"/>
      <c r="JL39" s="256"/>
      <c r="JM39" s="256"/>
      <c r="JN39" s="256"/>
      <c r="JO39" s="256"/>
      <c r="JP39" s="256"/>
      <c r="JQ39" s="256"/>
      <c r="JR39" s="256"/>
      <c r="JS39" s="256"/>
      <c r="JT39" s="256"/>
      <c r="JU39" s="256"/>
      <c r="JV39" s="256"/>
      <c r="JW39" s="256"/>
      <c r="JX39" s="256"/>
      <c r="JY39" s="256"/>
      <c r="JZ39" s="256"/>
      <c r="KA39" s="256"/>
      <c r="KB39" s="256"/>
      <c r="KC39" s="256"/>
      <c r="KD39" s="256"/>
      <c r="KE39" s="256"/>
      <c r="KF39" s="256"/>
      <c r="KG39" s="256"/>
      <c r="KH39" s="256"/>
      <c r="KI39" s="256"/>
      <c r="KJ39" s="256"/>
      <c r="KK39" s="256"/>
      <c r="KL39" s="256"/>
      <c r="KM39" s="256"/>
      <c r="KN39" s="256"/>
      <c r="KO39" s="256"/>
      <c r="KP39" s="256"/>
      <c r="KQ39" s="256"/>
      <c r="KR39" s="256"/>
      <c r="KS39" s="256"/>
      <c r="KT39" s="256"/>
      <c r="KU39" s="256"/>
      <c r="KV39" s="256"/>
      <c r="KW39" s="256"/>
      <c r="KX39" s="256"/>
      <c r="KY39" s="256"/>
      <c r="KZ39" s="256"/>
      <c r="LA39" s="256"/>
      <c r="LB39" s="256"/>
      <c r="LC39" s="256"/>
      <c r="LD39" s="256"/>
      <c r="LE39" s="256"/>
      <c r="LF39" s="256"/>
      <c r="LG39" s="256"/>
      <c r="LH39" s="256"/>
      <c r="LI39" s="256"/>
      <c r="LJ39" s="256"/>
      <c r="LK39" s="256"/>
      <c r="LL39" s="256"/>
      <c r="LM39" s="256"/>
      <c r="LN39" s="256"/>
      <c r="LO39" s="256"/>
      <c r="LP39" s="256"/>
      <c r="LQ39" s="256"/>
      <c r="LR39" s="256"/>
      <c r="LS39" s="256"/>
      <c r="LT39" s="256"/>
      <c r="LU39" s="256"/>
      <c r="LV39" s="256"/>
      <c r="LW39" s="256"/>
      <c r="LX39" s="256"/>
      <c r="LY39" s="256"/>
      <c r="LZ39" s="256"/>
      <c r="MA39" s="256"/>
      <c r="MB39" s="256"/>
      <c r="MC39" s="256"/>
      <c r="MD39" s="256"/>
      <c r="ME39" s="256"/>
      <c r="MF39" s="256"/>
      <c r="MG39" s="256"/>
      <c r="MH39" s="256"/>
      <c r="MI39" s="256"/>
      <c r="MJ39" s="256"/>
      <c r="MK39" s="256"/>
      <c r="ML39" s="256"/>
      <c r="MM39" s="256"/>
      <c r="MN39" s="256"/>
      <c r="MO39" s="256"/>
      <c r="MP39" s="256"/>
      <c r="MQ39" s="256"/>
      <c r="MR39" s="256"/>
      <c r="MS39" s="256"/>
      <c r="MT39" s="256"/>
      <c r="MU39" s="256"/>
      <c r="MV39" s="256"/>
      <c r="MW39" s="256"/>
      <c r="MX39" s="256"/>
      <c r="MY39" s="256"/>
      <c r="MZ39" s="256"/>
      <c r="NA39" s="256"/>
      <c r="NB39" s="256"/>
      <c r="NC39" s="256"/>
      <c r="ND39" s="256"/>
      <c r="NE39" s="256"/>
      <c r="NF39" s="256"/>
      <c r="NG39" s="256"/>
      <c r="NH39" s="256"/>
      <c r="NI39" s="256"/>
      <c r="NJ39" s="256"/>
      <c r="NK39" s="256"/>
      <c r="NL39" s="256"/>
      <c r="NM39" s="256"/>
      <c r="NN39" s="256"/>
      <c r="NO39" s="256"/>
      <c r="NP39" s="256"/>
      <c r="NQ39" s="256"/>
      <c r="NR39" s="256"/>
      <c r="NS39" s="256"/>
      <c r="NT39" s="256"/>
      <c r="NU39" s="256"/>
      <c r="NV39" s="256"/>
      <c r="NW39" s="256"/>
      <c r="NX39" s="256"/>
      <c r="NY39" s="256"/>
      <c r="NZ39" s="256"/>
      <c r="OA39" s="256"/>
      <c r="OB39" s="256"/>
      <c r="OC39" s="256"/>
      <c r="OD39" s="256"/>
      <c r="OE39" s="256"/>
      <c r="OF39" s="256"/>
      <c r="OG39" s="256"/>
      <c r="OH39" s="256"/>
      <c r="OI39" s="256"/>
      <c r="OJ39" s="256"/>
      <c r="OK39" s="256"/>
      <c r="OL39" s="256"/>
      <c r="OM39" s="256"/>
      <c r="ON39" s="256"/>
      <c r="OO39" s="256"/>
      <c r="OP39" s="256"/>
      <c r="OQ39" s="256"/>
      <c r="OR39" s="256"/>
      <c r="OS39" s="256"/>
      <c r="OT39" s="256"/>
      <c r="OU39" s="256"/>
      <c r="OV39" s="256"/>
      <c r="OW39" s="256"/>
      <c r="OX39" s="256"/>
      <c r="OY39" s="256"/>
      <c r="OZ39" s="256"/>
      <c r="PA39" s="256"/>
      <c r="PB39" s="256"/>
      <c r="PC39" s="256"/>
      <c r="PD39" s="256"/>
      <c r="PE39" s="256"/>
      <c r="PF39" s="256"/>
      <c r="PG39" s="256"/>
      <c r="PH39" s="256"/>
      <c r="PI39" s="256"/>
      <c r="PJ39" s="256"/>
      <c r="PK39" s="256"/>
      <c r="PL39" s="256"/>
      <c r="PM39" s="256"/>
      <c r="PN39" s="256"/>
      <c r="PO39" s="256"/>
      <c r="PP39" s="256"/>
      <c r="PQ39" s="256"/>
      <c r="PR39" s="256"/>
      <c r="PS39" s="256"/>
      <c r="PT39" s="256"/>
      <c r="PU39" s="256"/>
      <c r="PV39" s="256"/>
      <c r="PW39" s="256"/>
      <c r="PX39" s="256"/>
      <c r="PY39" s="256"/>
      <c r="PZ39" s="256"/>
      <c r="QA39" s="256"/>
      <c r="QB39" s="256"/>
      <c r="QC39" s="256"/>
      <c r="QD39" s="256"/>
      <c r="QE39" s="256"/>
      <c r="QF39" s="256"/>
      <c r="QG39" s="256"/>
      <c r="QH39" s="256"/>
    </row>
    <row r="40" spans="1:450" s="77" customFormat="1" x14ac:dyDescent="0.25">
      <c r="A40" s="81" t="s">
        <v>202</v>
      </c>
      <c r="B40" s="81" t="s">
        <v>1168</v>
      </c>
      <c r="C40" s="81" t="s">
        <v>203</v>
      </c>
      <c r="D40" s="87">
        <v>2303</v>
      </c>
      <c r="E40" s="85">
        <v>0.75</v>
      </c>
      <c r="F40" s="169">
        <f t="shared" si="5"/>
        <v>1727.25</v>
      </c>
      <c r="G40" s="85">
        <v>0.25</v>
      </c>
      <c r="H40" s="86">
        <f t="shared" si="1"/>
        <v>575.75</v>
      </c>
      <c r="I40" s="82"/>
      <c r="J40" s="170">
        <f t="shared" si="2"/>
        <v>20727</v>
      </c>
      <c r="K40" s="172"/>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6"/>
      <c r="DN40" s="256"/>
      <c r="DO40" s="256"/>
      <c r="DP40" s="256"/>
      <c r="DQ40" s="256"/>
      <c r="DR40" s="256"/>
      <c r="DS40" s="256"/>
      <c r="DT40" s="256"/>
      <c r="DU40" s="256"/>
      <c r="DV40" s="256"/>
      <c r="DW40" s="256"/>
      <c r="DX40" s="256"/>
      <c r="DY40" s="256"/>
      <c r="DZ40" s="256"/>
      <c r="EA40" s="256"/>
      <c r="EB40" s="256"/>
      <c r="EC40" s="256"/>
      <c r="ED40" s="256"/>
      <c r="EE40" s="256"/>
      <c r="EF40" s="256"/>
      <c r="EG40" s="256"/>
      <c r="EH40" s="256"/>
      <c r="EI40" s="256"/>
      <c r="EJ40" s="256"/>
      <c r="EK40" s="256"/>
      <c r="EL40" s="256"/>
      <c r="EM40" s="256"/>
      <c r="EN40" s="256"/>
      <c r="EO40" s="256"/>
      <c r="EP40" s="256"/>
      <c r="EQ40" s="256"/>
      <c r="ER40" s="256"/>
      <c r="ES40" s="256"/>
      <c r="ET40" s="256"/>
      <c r="EU40" s="256"/>
      <c r="EV40" s="256"/>
      <c r="EW40" s="256"/>
      <c r="EX40" s="256"/>
      <c r="EY40" s="256"/>
      <c r="EZ40" s="256"/>
      <c r="FA40" s="256"/>
      <c r="FB40" s="256"/>
      <c r="FC40" s="256"/>
      <c r="FD40" s="256"/>
      <c r="FE40" s="256"/>
      <c r="FF40" s="256"/>
      <c r="FG40" s="256"/>
      <c r="FH40" s="256"/>
      <c r="FI40" s="256"/>
      <c r="FJ40" s="256"/>
      <c r="FK40" s="256"/>
      <c r="FL40" s="256"/>
      <c r="FM40" s="256"/>
      <c r="FN40" s="256"/>
      <c r="FO40" s="256"/>
      <c r="FP40" s="256"/>
      <c r="FQ40" s="256"/>
      <c r="FR40" s="256"/>
      <c r="FS40" s="256"/>
      <c r="FT40" s="256"/>
      <c r="FU40" s="256"/>
      <c r="FV40" s="256"/>
      <c r="FW40" s="256"/>
      <c r="FX40" s="256"/>
      <c r="FY40" s="256"/>
      <c r="FZ40" s="256"/>
      <c r="GA40" s="256"/>
      <c r="GB40" s="256"/>
      <c r="GC40" s="256"/>
      <c r="GD40" s="256"/>
      <c r="GE40" s="256"/>
      <c r="GF40" s="256"/>
      <c r="GG40" s="256"/>
      <c r="GH40" s="256"/>
      <c r="GI40" s="256"/>
      <c r="GJ40" s="256"/>
      <c r="GK40" s="256"/>
      <c r="GL40" s="256"/>
      <c r="GM40" s="256"/>
      <c r="GN40" s="256"/>
      <c r="GO40" s="256"/>
      <c r="GP40" s="256"/>
      <c r="GQ40" s="256"/>
      <c r="GR40" s="256"/>
      <c r="GS40" s="256"/>
      <c r="GT40" s="256"/>
      <c r="GU40" s="256"/>
      <c r="GV40" s="256"/>
      <c r="GW40" s="256"/>
      <c r="GX40" s="256"/>
      <c r="GY40" s="256"/>
      <c r="GZ40" s="256"/>
      <c r="HA40" s="256"/>
      <c r="HB40" s="256"/>
      <c r="HC40" s="256"/>
      <c r="HD40" s="256"/>
      <c r="HE40" s="256"/>
      <c r="HF40" s="256"/>
      <c r="HG40" s="256"/>
      <c r="HH40" s="256"/>
      <c r="HI40" s="256"/>
      <c r="HJ40" s="256"/>
      <c r="HK40" s="256"/>
      <c r="HL40" s="256"/>
      <c r="HM40" s="256"/>
      <c r="HN40" s="256"/>
      <c r="HO40" s="256"/>
      <c r="HP40" s="256"/>
      <c r="HQ40" s="256"/>
      <c r="HR40" s="256"/>
      <c r="HS40" s="256"/>
      <c r="HT40" s="256"/>
      <c r="HU40" s="256"/>
      <c r="HV40" s="256"/>
      <c r="HW40" s="256"/>
      <c r="HX40" s="256"/>
      <c r="HY40" s="256"/>
      <c r="HZ40" s="256"/>
      <c r="IA40" s="256"/>
      <c r="IB40" s="256"/>
      <c r="IC40" s="256"/>
      <c r="ID40" s="256"/>
      <c r="IE40" s="256"/>
      <c r="IF40" s="256"/>
      <c r="IG40" s="256"/>
      <c r="IH40" s="256"/>
      <c r="II40" s="256"/>
      <c r="IJ40" s="256"/>
      <c r="IK40" s="256"/>
      <c r="IL40" s="256"/>
      <c r="IM40" s="256"/>
      <c r="IN40" s="256"/>
      <c r="IO40" s="256"/>
      <c r="IP40" s="256"/>
      <c r="IQ40" s="256"/>
      <c r="IR40" s="256"/>
      <c r="IS40" s="256"/>
      <c r="IT40" s="256"/>
      <c r="IU40" s="256"/>
      <c r="IV40" s="256"/>
      <c r="IW40" s="256"/>
      <c r="IX40" s="256"/>
      <c r="IY40" s="256"/>
      <c r="IZ40" s="256"/>
      <c r="JA40" s="256"/>
      <c r="JB40" s="256"/>
      <c r="JC40" s="256"/>
      <c r="JD40" s="256"/>
      <c r="JE40" s="256"/>
      <c r="JF40" s="256"/>
      <c r="JG40" s="256"/>
      <c r="JH40" s="256"/>
      <c r="JI40" s="256"/>
      <c r="JJ40" s="256"/>
      <c r="JK40" s="256"/>
      <c r="JL40" s="256"/>
      <c r="JM40" s="256"/>
      <c r="JN40" s="256"/>
      <c r="JO40" s="256"/>
      <c r="JP40" s="256"/>
      <c r="JQ40" s="256"/>
      <c r="JR40" s="256"/>
      <c r="JS40" s="256"/>
      <c r="JT40" s="256"/>
      <c r="JU40" s="256"/>
      <c r="JV40" s="256"/>
      <c r="JW40" s="256"/>
      <c r="JX40" s="256"/>
      <c r="JY40" s="256"/>
      <c r="JZ40" s="256"/>
      <c r="KA40" s="256"/>
      <c r="KB40" s="256"/>
      <c r="KC40" s="256"/>
      <c r="KD40" s="256"/>
      <c r="KE40" s="256"/>
      <c r="KF40" s="256"/>
      <c r="KG40" s="256"/>
      <c r="KH40" s="256"/>
      <c r="KI40" s="256"/>
      <c r="KJ40" s="256"/>
      <c r="KK40" s="256"/>
      <c r="KL40" s="256"/>
      <c r="KM40" s="256"/>
      <c r="KN40" s="256"/>
      <c r="KO40" s="256"/>
      <c r="KP40" s="256"/>
      <c r="KQ40" s="256"/>
      <c r="KR40" s="256"/>
      <c r="KS40" s="256"/>
      <c r="KT40" s="256"/>
      <c r="KU40" s="256"/>
      <c r="KV40" s="256"/>
      <c r="KW40" s="256"/>
      <c r="KX40" s="256"/>
      <c r="KY40" s="256"/>
      <c r="KZ40" s="256"/>
      <c r="LA40" s="256"/>
      <c r="LB40" s="256"/>
      <c r="LC40" s="256"/>
      <c r="LD40" s="256"/>
      <c r="LE40" s="256"/>
      <c r="LF40" s="256"/>
      <c r="LG40" s="256"/>
      <c r="LH40" s="256"/>
      <c r="LI40" s="256"/>
      <c r="LJ40" s="256"/>
      <c r="LK40" s="256"/>
      <c r="LL40" s="256"/>
      <c r="LM40" s="256"/>
      <c r="LN40" s="256"/>
      <c r="LO40" s="256"/>
      <c r="LP40" s="256"/>
      <c r="LQ40" s="256"/>
      <c r="LR40" s="256"/>
      <c r="LS40" s="256"/>
      <c r="LT40" s="256"/>
      <c r="LU40" s="256"/>
      <c r="LV40" s="256"/>
      <c r="LW40" s="256"/>
      <c r="LX40" s="256"/>
      <c r="LY40" s="256"/>
      <c r="LZ40" s="256"/>
      <c r="MA40" s="256"/>
      <c r="MB40" s="256"/>
      <c r="MC40" s="256"/>
      <c r="MD40" s="256"/>
      <c r="ME40" s="256"/>
      <c r="MF40" s="256"/>
      <c r="MG40" s="256"/>
      <c r="MH40" s="256"/>
      <c r="MI40" s="256"/>
      <c r="MJ40" s="256"/>
      <c r="MK40" s="256"/>
      <c r="ML40" s="256"/>
      <c r="MM40" s="256"/>
      <c r="MN40" s="256"/>
      <c r="MO40" s="256"/>
      <c r="MP40" s="256"/>
      <c r="MQ40" s="256"/>
      <c r="MR40" s="256"/>
      <c r="MS40" s="256"/>
      <c r="MT40" s="256"/>
      <c r="MU40" s="256"/>
      <c r="MV40" s="256"/>
      <c r="MW40" s="256"/>
      <c r="MX40" s="256"/>
      <c r="MY40" s="256"/>
      <c r="MZ40" s="256"/>
      <c r="NA40" s="256"/>
      <c r="NB40" s="256"/>
      <c r="NC40" s="256"/>
      <c r="ND40" s="256"/>
      <c r="NE40" s="256"/>
      <c r="NF40" s="256"/>
      <c r="NG40" s="256"/>
      <c r="NH40" s="256"/>
      <c r="NI40" s="256"/>
      <c r="NJ40" s="256"/>
      <c r="NK40" s="256"/>
      <c r="NL40" s="256"/>
      <c r="NM40" s="256"/>
      <c r="NN40" s="256"/>
      <c r="NO40" s="256"/>
      <c r="NP40" s="256"/>
      <c r="NQ40" s="256"/>
      <c r="NR40" s="256"/>
      <c r="NS40" s="256"/>
      <c r="NT40" s="256"/>
      <c r="NU40" s="256"/>
      <c r="NV40" s="256"/>
      <c r="NW40" s="256"/>
      <c r="NX40" s="256"/>
      <c r="NY40" s="256"/>
      <c r="NZ40" s="256"/>
      <c r="OA40" s="256"/>
      <c r="OB40" s="256"/>
      <c r="OC40" s="256"/>
      <c r="OD40" s="256"/>
      <c r="OE40" s="256"/>
      <c r="OF40" s="256"/>
      <c r="OG40" s="256"/>
      <c r="OH40" s="256"/>
      <c r="OI40" s="256"/>
      <c r="OJ40" s="256"/>
      <c r="OK40" s="256"/>
      <c r="OL40" s="256"/>
      <c r="OM40" s="256"/>
      <c r="ON40" s="256"/>
      <c r="OO40" s="256"/>
      <c r="OP40" s="256"/>
      <c r="OQ40" s="256"/>
      <c r="OR40" s="256"/>
      <c r="OS40" s="256"/>
      <c r="OT40" s="256"/>
      <c r="OU40" s="256"/>
      <c r="OV40" s="256"/>
      <c r="OW40" s="256"/>
      <c r="OX40" s="256"/>
      <c r="OY40" s="256"/>
      <c r="OZ40" s="256"/>
      <c r="PA40" s="256"/>
      <c r="PB40" s="256"/>
      <c r="PC40" s="256"/>
      <c r="PD40" s="256"/>
      <c r="PE40" s="256"/>
      <c r="PF40" s="256"/>
      <c r="PG40" s="256"/>
      <c r="PH40" s="256"/>
      <c r="PI40" s="256"/>
      <c r="PJ40" s="256"/>
      <c r="PK40" s="256"/>
      <c r="PL40" s="256"/>
      <c r="PM40" s="256"/>
      <c r="PN40" s="256"/>
      <c r="PO40" s="256"/>
      <c r="PP40" s="256"/>
      <c r="PQ40" s="256"/>
      <c r="PR40" s="256"/>
      <c r="PS40" s="256"/>
      <c r="PT40" s="256"/>
      <c r="PU40" s="256"/>
      <c r="PV40" s="256"/>
      <c r="PW40" s="256"/>
      <c r="PX40" s="256"/>
      <c r="PY40" s="256"/>
      <c r="PZ40" s="256"/>
      <c r="QA40" s="256"/>
      <c r="QB40" s="256"/>
      <c r="QC40" s="256"/>
      <c r="QD40" s="256"/>
      <c r="QE40" s="256"/>
      <c r="QF40" s="256"/>
      <c r="QG40" s="256"/>
      <c r="QH40" s="256"/>
    </row>
    <row r="41" spans="1:450" s="77" customFormat="1" x14ac:dyDescent="0.25">
      <c r="A41" s="81" t="s">
        <v>202</v>
      </c>
      <c r="B41" s="81" t="s">
        <v>1311</v>
      </c>
      <c r="C41" s="81" t="s">
        <v>203</v>
      </c>
      <c r="D41" s="87">
        <v>858</v>
      </c>
      <c r="E41" s="85">
        <v>0.75</v>
      </c>
      <c r="F41" s="169">
        <f>D41*E41</f>
        <v>643.5</v>
      </c>
      <c r="G41" s="85">
        <v>0.25</v>
      </c>
      <c r="H41" s="86">
        <f>G41*D41</f>
        <v>214.5</v>
      </c>
      <c r="I41" s="82"/>
      <c r="J41" s="170">
        <f>F41*12</f>
        <v>7722</v>
      </c>
      <c r="K41" s="172"/>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6"/>
      <c r="CV41" s="256"/>
      <c r="CW41" s="256"/>
      <c r="CX41" s="256"/>
      <c r="CY41" s="256"/>
      <c r="CZ41" s="256"/>
      <c r="DA41" s="256"/>
      <c r="DB41" s="256"/>
      <c r="DC41" s="256"/>
      <c r="DD41" s="256"/>
      <c r="DE41" s="256"/>
      <c r="DF41" s="256"/>
      <c r="DG41" s="256"/>
      <c r="DH41" s="256"/>
      <c r="DI41" s="256"/>
      <c r="DJ41" s="256"/>
      <c r="DK41" s="256"/>
      <c r="DL41" s="256"/>
      <c r="DM41" s="256"/>
      <c r="DN41" s="256"/>
      <c r="DO41" s="256"/>
      <c r="DP41" s="256"/>
      <c r="DQ41" s="256"/>
      <c r="DR41" s="256"/>
      <c r="DS41" s="256"/>
      <c r="DT41" s="256"/>
      <c r="DU41" s="256"/>
      <c r="DV41" s="256"/>
      <c r="DW41" s="256"/>
      <c r="DX41" s="256"/>
      <c r="DY41" s="256"/>
      <c r="DZ41" s="256"/>
      <c r="EA41" s="256"/>
      <c r="EB41" s="256"/>
      <c r="EC41" s="256"/>
      <c r="ED41" s="256"/>
      <c r="EE41" s="256"/>
      <c r="EF41" s="256"/>
      <c r="EG41" s="256"/>
      <c r="EH41" s="256"/>
      <c r="EI41" s="256"/>
      <c r="EJ41" s="256"/>
      <c r="EK41" s="256"/>
      <c r="EL41" s="256"/>
      <c r="EM41" s="256"/>
      <c r="EN41" s="256"/>
      <c r="EO41" s="256"/>
      <c r="EP41" s="256"/>
      <c r="EQ41" s="256"/>
      <c r="ER41" s="256"/>
      <c r="ES41" s="256"/>
      <c r="ET41" s="256"/>
      <c r="EU41" s="256"/>
      <c r="EV41" s="256"/>
      <c r="EW41" s="256"/>
      <c r="EX41" s="256"/>
      <c r="EY41" s="256"/>
      <c r="EZ41" s="256"/>
      <c r="FA41" s="256"/>
      <c r="FB41" s="256"/>
      <c r="FC41" s="256"/>
      <c r="FD41" s="256"/>
      <c r="FE41" s="256"/>
      <c r="FF41" s="256"/>
      <c r="FG41" s="256"/>
      <c r="FH41" s="256"/>
      <c r="FI41" s="256"/>
      <c r="FJ41" s="256"/>
      <c r="FK41" s="256"/>
      <c r="FL41" s="256"/>
      <c r="FM41" s="256"/>
      <c r="FN41" s="256"/>
      <c r="FO41" s="256"/>
      <c r="FP41" s="256"/>
      <c r="FQ41" s="256"/>
      <c r="FR41" s="256"/>
      <c r="FS41" s="256"/>
      <c r="FT41" s="256"/>
      <c r="FU41" s="256"/>
      <c r="FV41" s="256"/>
      <c r="FW41" s="256"/>
      <c r="FX41" s="256"/>
      <c r="FY41" s="256"/>
      <c r="FZ41" s="256"/>
      <c r="GA41" s="256"/>
      <c r="GB41" s="256"/>
      <c r="GC41" s="256"/>
      <c r="GD41" s="256"/>
      <c r="GE41" s="256"/>
      <c r="GF41" s="256"/>
      <c r="GG41" s="256"/>
      <c r="GH41" s="256"/>
      <c r="GI41" s="256"/>
      <c r="GJ41" s="256"/>
      <c r="GK41" s="256"/>
      <c r="GL41" s="256"/>
      <c r="GM41" s="256"/>
      <c r="GN41" s="256"/>
      <c r="GO41" s="256"/>
      <c r="GP41" s="256"/>
      <c r="GQ41" s="256"/>
      <c r="GR41" s="256"/>
      <c r="GS41" s="256"/>
      <c r="GT41" s="256"/>
      <c r="GU41" s="256"/>
      <c r="GV41" s="256"/>
      <c r="GW41" s="256"/>
      <c r="GX41" s="256"/>
      <c r="GY41" s="256"/>
      <c r="GZ41" s="256"/>
      <c r="HA41" s="256"/>
      <c r="HB41" s="256"/>
      <c r="HC41" s="256"/>
      <c r="HD41" s="256"/>
      <c r="HE41" s="256"/>
      <c r="HF41" s="256"/>
      <c r="HG41" s="256"/>
      <c r="HH41" s="256"/>
      <c r="HI41" s="256"/>
      <c r="HJ41" s="256"/>
      <c r="HK41" s="256"/>
      <c r="HL41" s="256"/>
      <c r="HM41" s="256"/>
      <c r="HN41" s="256"/>
      <c r="HO41" s="256"/>
      <c r="HP41" s="256"/>
      <c r="HQ41" s="256"/>
      <c r="HR41" s="256"/>
      <c r="HS41" s="256"/>
      <c r="HT41" s="256"/>
      <c r="HU41" s="256"/>
      <c r="HV41" s="256"/>
      <c r="HW41" s="256"/>
      <c r="HX41" s="256"/>
      <c r="HY41" s="256"/>
      <c r="HZ41" s="256"/>
      <c r="IA41" s="256"/>
      <c r="IB41" s="256"/>
      <c r="IC41" s="256"/>
      <c r="ID41" s="256"/>
      <c r="IE41" s="256"/>
      <c r="IF41" s="256"/>
      <c r="IG41" s="256"/>
      <c r="IH41" s="256"/>
      <c r="II41" s="256"/>
      <c r="IJ41" s="256"/>
      <c r="IK41" s="256"/>
      <c r="IL41" s="256"/>
      <c r="IM41" s="256"/>
      <c r="IN41" s="256"/>
      <c r="IO41" s="256"/>
      <c r="IP41" s="256"/>
      <c r="IQ41" s="256"/>
      <c r="IR41" s="256"/>
      <c r="IS41" s="256"/>
      <c r="IT41" s="256"/>
      <c r="IU41" s="256"/>
      <c r="IV41" s="256"/>
      <c r="IW41" s="256"/>
      <c r="IX41" s="256"/>
      <c r="IY41" s="256"/>
      <c r="IZ41" s="256"/>
      <c r="JA41" s="256"/>
      <c r="JB41" s="256"/>
      <c r="JC41" s="256"/>
      <c r="JD41" s="256"/>
      <c r="JE41" s="256"/>
      <c r="JF41" s="256"/>
      <c r="JG41" s="256"/>
      <c r="JH41" s="256"/>
      <c r="JI41" s="256"/>
      <c r="JJ41" s="256"/>
      <c r="JK41" s="256"/>
      <c r="JL41" s="256"/>
      <c r="JM41" s="256"/>
      <c r="JN41" s="256"/>
      <c r="JO41" s="256"/>
      <c r="JP41" s="256"/>
      <c r="JQ41" s="256"/>
      <c r="JR41" s="256"/>
      <c r="JS41" s="256"/>
      <c r="JT41" s="256"/>
      <c r="JU41" s="256"/>
      <c r="JV41" s="256"/>
      <c r="JW41" s="256"/>
      <c r="JX41" s="256"/>
      <c r="JY41" s="256"/>
      <c r="JZ41" s="256"/>
      <c r="KA41" s="256"/>
      <c r="KB41" s="256"/>
      <c r="KC41" s="256"/>
      <c r="KD41" s="256"/>
      <c r="KE41" s="256"/>
      <c r="KF41" s="256"/>
      <c r="KG41" s="256"/>
      <c r="KH41" s="256"/>
      <c r="KI41" s="256"/>
      <c r="KJ41" s="256"/>
      <c r="KK41" s="256"/>
      <c r="KL41" s="256"/>
      <c r="KM41" s="256"/>
      <c r="KN41" s="256"/>
      <c r="KO41" s="256"/>
      <c r="KP41" s="256"/>
      <c r="KQ41" s="256"/>
      <c r="KR41" s="256"/>
      <c r="KS41" s="256"/>
      <c r="KT41" s="256"/>
      <c r="KU41" s="256"/>
      <c r="KV41" s="256"/>
      <c r="KW41" s="256"/>
      <c r="KX41" s="256"/>
      <c r="KY41" s="256"/>
      <c r="KZ41" s="256"/>
      <c r="LA41" s="256"/>
      <c r="LB41" s="256"/>
      <c r="LC41" s="256"/>
      <c r="LD41" s="256"/>
      <c r="LE41" s="256"/>
      <c r="LF41" s="256"/>
      <c r="LG41" s="256"/>
      <c r="LH41" s="256"/>
      <c r="LI41" s="256"/>
      <c r="LJ41" s="256"/>
      <c r="LK41" s="256"/>
      <c r="LL41" s="256"/>
      <c r="LM41" s="256"/>
      <c r="LN41" s="256"/>
      <c r="LO41" s="256"/>
      <c r="LP41" s="256"/>
      <c r="LQ41" s="256"/>
      <c r="LR41" s="256"/>
      <c r="LS41" s="256"/>
      <c r="LT41" s="256"/>
      <c r="LU41" s="256"/>
      <c r="LV41" s="256"/>
      <c r="LW41" s="256"/>
      <c r="LX41" s="256"/>
      <c r="LY41" s="256"/>
      <c r="LZ41" s="256"/>
      <c r="MA41" s="256"/>
      <c r="MB41" s="256"/>
      <c r="MC41" s="256"/>
      <c r="MD41" s="256"/>
      <c r="ME41" s="256"/>
      <c r="MF41" s="256"/>
      <c r="MG41" s="256"/>
      <c r="MH41" s="256"/>
      <c r="MI41" s="256"/>
      <c r="MJ41" s="256"/>
      <c r="MK41" s="256"/>
      <c r="ML41" s="256"/>
      <c r="MM41" s="256"/>
      <c r="MN41" s="256"/>
      <c r="MO41" s="256"/>
      <c r="MP41" s="256"/>
      <c r="MQ41" s="256"/>
      <c r="MR41" s="256"/>
      <c r="MS41" s="256"/>
      <c r="MT41" s="256"/>
      <c r="MU41" s="256"/>
      <c r="MV41" s="256"/>
      <c r="MW41" s="256"/>
      <c r="MX41" s="256"/>
      <c r="MY41" s="256"/>
      <c r="MZ41" s="256"/>
      <c r="NA41" s="256"/>
      <c r="NB41" s="256"/>
      <c r="NC41" s="256"/>
      <c r="ND41" s="256"/>
      <c r="NE41" s="256"/>
      <c r="NF41" s="256"/>
      <c r="NG41" s="256"/>
      <c r="NH41" s="256"/>
      <c r="NI41" s="256"/>
      <c r="NJ41" s="256"/>
      <c r="NK41" s="256"/>
      <c r="NL41" s="256"/>
      <c r="NM41" s="256"/>
      <c r="NN41" s="256"/>
      <c r="NO41" s="256"/>
      <c r="NP41" s="256"/>
      <c r="NQ41" s="256"/>
      <c r="NR41" s="256"/>
      <c r="NS41" s="256"/>
      <c r="NT41" s="256"/>
      <c r="NU41" s="256"/>
      <c r="NV41" s="256"/>
      <c r="NW41" s="256"/>
      <c r="NX41" s="256"/>
      <c r="NY41" s="256"/>
      <c r="NZ41" s="256"/>
      <c r="OA41" s="256"/>
      <c r="OB41" s="256"/>
      <c r="OC41" s="256"/>
      <c r="OD41" s="256"/>
      <c r="OE41" s="256"/>
      <c r="OF41" s="256"/>
      <c r="OG41" s="256"/>
      <c r="OH41" s="256"/>
      <c r="OI41" s="256"/>
      <c r="OJ41" s="256"/>
      <c r="OK41" s="256"/>
      <c r="OL41" s="256"/>
      <c r="OM41" s="256"/>
      <c r="ON41" s="256"/>
      <c r="OO41" s="256"/>
      <c r="OP41" s="256"/>
      <c r="OQ41" s="256"/>
      <c r="OR41" s="256"/>
      <c r="OS41" s="256"/>
      <c r="OT41" s="256"/>
      <c r="OU41" s="256"/>
      <c r="OV41" s="256"/>
      <c r="OW41" s="256"/>
      <c r="OX41" s="256"/>
      <c r="OY41" s="256"/>
      <c r="OZ41" s="256"/>
      <c r="PA41" s="256"/>
      <c r="PB41" s="256"/>
      <c r="PC41" s="256"/>
      <c r="PD41" s="256"/>
      <c r="PE41" s="256"/>
      <c r="PF41" s="256"/>
      <c r="PG41" s="256"/>
      <c r="PH41" s="256"/>
      <c r="PI41" s="256"/>
      <c r="PJ41" s="256"/>
      <c r="PK41" s="256"/>
      <c r="PL41" s="256"/>
      <c r="PM41" s="256"/>
      <c r="PN41" s="256"/>
      <c r="PO41" s="256"/>
      <c r="PP41" s="256"/>
      <c r="PQ41" s="256"/>
      <c r="PR41" s="256"/>
      <c r="PS41" s="256"/>
      <c r="PT41" s="256"/>
      <c r="PU41" s="256"/>
      <c r="PV41" s="256"/>
      <c r="PW41" s="256"/>
      <c r="PX41" s="256"/>
      <c r="PY41" s="256"/>
      <c r="PZ41" s="256"/>
      <c r="QA41" s="256"/>
      <c r="QB41" s="256"/>
      <c r="QC41" s="256"/>
      <c r="QD41" s="256"/>
      <c r="QE41" s="256"/>
      <c r="QF41" s="256"/>
      <c r="QG41" s="256"/>
      <c r="QH41" s="256"/>
    </row>
    <row r="42" spans="1:450" s="77" customFormat="1" x14ac:dyDescent="0.25">
      <c r="A42" s="81" t="s">
        <v>179</v>
      </c>
      <c r="B42" s="81" t="s">
        <v>240</v>
      </c>
      <c r="C42" s="81" t="s">
        <v>203</v>
      </c>
      <c r="D42" s="87">
        <v>2345</v>
      </c>
      <c r="E42" s="85">
        <v>0.75</v>
      </c>
      <c r="F42" s="169">
        <f t="shared" si="5"/>
        <v>1758.75</v>
      </c>
      <c r="G42" s="85">
        <v>0.25</v>
      </c>
      <c r="H42" s="86">
        <f t="shared" si="1"/>
        <v>586.25</v>
      </c>
      <c r="I42" s="82"/>
      <c r="J42" s="170">
        <f t="shared" si="2"/>
        <v>21105</v>
      </c>
      <c r="K42" s="172">
        <f>SUM(J38:J42)</f>
        <v>95931</v>
      </c>
      <c r="L42" s="285">
        <f>K42</f>
        <v>95931</v>
      </c>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256"/>
      <c r="BY42" s="256"/>
      <c r="BZ42" s="256"/>
      <c r="CA42" s="256"/>
      <c r="CB42" s="256"/>
      <c r="CC42" s="256"/>
      <c r="CD42" s="256"/>
      <c r="CE42" s="256"/>
      <c r="CF42" s="256"/>
      <c r="CG42" s="256"/>
      <c r="CH42" s="256"/>
      <c r="CI42" s="256"/>
      <c r="CJ42" s="256"/>
      <c r="CK42" s="256"/>
      <c r="CL42" s="256"/>
      <c r="CM42" s="256"/>
      <c r="CN42" s="256"/>
      <c r="CO42" s="256"/>
      <c r="CP42" s="256"/>
      <c r="CQ42" s="256"/>
      <c r="CR42" s="256"/>
      <c r="CS42" s="256"/>
      <c r="CT42" s="256"/>
      <c r="CU42" s="256"/>
      <c r="CV42" s="256"/>
      <c r="CW42" s="256"/>
      <c r="CX42" s="256"/>
      <c r="CY42" s="256"/>
      <c r="CZ42" s="256"/>
      <c r="DA42" s="256"/>
      <c r="DB42" s="256"/>
      <c r="DC42" s="256"/>
      <c r="DD42" s="256"/>
      <c r="DE42" s="256"/>
      <c r="DF42" s="256"/>
      <c r="DG42" s="256"/>
      <c r="DH42" s="256"/>
      <c r="DI42" s="256"/>
      <c r="DJ42" s="256"/>
      <c r="DK42" s="256"/>
      <c r="DL42" s="256"/>
      <c r="DM42" s="256"/>
      <c r="DN42" s="256"/>
      <c r="DO42" s="256"/>
      <c r="DP42" s="256"/>
      <c r="DQ42" s="256"/>
      <c r="DR42" s="256"/>
      <c r="DS42" s="256"/>
      <c r="DT42" s="256"/>
      <c r="DU42" s="256"/>
      <c r="DV42" s="256"/>
      <c r="DW42" s="256"/>
      <c r="DX42" s="256"/>
      <c r="DY42" s="256"/>
      <c r="DZ42" s="256"/>
      <c r="EA42" s="256"/>
      <c r="EB42" s="256"/>
      <c r="EC42" s="256"/>
      <c r="ED42" s="256"/>
      <c r="EE42" s="256"/>
      <c r="EF42" s="256"/>
      <c r="EG42" s="256"/>
      <c r="EH42" s="256"/>
      <c r="EI42" s="256"/>
      <c r="EJ42" s="256"/>
      <c r="EK42" s="256"/>
      <c r="EL42" s="256"/>
      <c r="EM42" s="256"/>
      <c r="EN42" s="256"/>
      <c r="EO42" s="256"/>
      <c r="EP42" s="256"/>
      <c r="EQ42" s="256"/>
      <c r="ER42" s="256"/>
      <c r="ES42" s="256"/>
      <c r="ET42" s="256"/>
      <c r="EU42" s="256"/>
      <c r="EV42" s="256"/>
      <c r="EW42" s="256"/>
      <c r="EX42" s="256"/>
      <c r="EY42" s="256"/>
      <c r="EZ42" s="256"/>
      <c r="FA42" s="256"/>
      <c r="FB42" s="256"/>
      <c r="FC42" s="256"/>
      <c r="FD42" s="256"/>
      <c r="FE42" s="256"/>
      <c r="FF42" s="256"/>
      <c r="FG42" s="256"/>
      <c r="FH42" s="256"/>
      <c r="FI42" s="256"/>
      <c r="FJ42" s="256"/>
      <c r="FK42" s="256"/>
      <c r="FL42" s="256"/>
      <c r="FM42" s="256"/>
      <c r="FN42" s="256"/>
      <c r="FO42" s="256"/>
      <c r="FP42" s="256"/>
      <c r="FQ42" s="256"/>
      <c r="FR42" s="256"/>
      <c r="FS42" s="256"/>
      <c r="FT42" s="256"/>
      <c r="FU42" s="256"/>
      <c r="FV42" s="256"/>
      <c r="FW42" s="256"/>
      <c r="FX42" s="256"/>
      <c r="FY42" s="256"/>
      <c r="FZ42" s="256"/>
      <c r="GA42" s="256"/>
      <c r="GB42" s="256"/>
      <c r="GC42" s="256"/>
      <c r="GD42" s="256"/>
      <c r="GE42" s="256"/>
      <c r="GF42" s="256"/>
      <c r="GG42" s="256"/>
      <c r="GH42" s="256"/>
      <c r="GI42" s="256"/>
      <c r="GJ42" s="256"/>
      <c r="GK42" s="256"/>
      <c r="GL42" s="256"/>
      <c r="GM42" s="256"/>
      <c r="GN42" s="256"/>
      <c r="GO42" s="256"/>
      <c r="GP42" s="256"/>
      <c r="GQ42" s="256"/>
      <c r="GR42" s="256"/>
      <c r="GS42" s="256"/>
      <c r="GT42" s="256"/>
      <c r="GU42" s="256"/>
      <c r="GV42" s="256"/>
      <c r="GW42" s="256"/>
      <c r="GX42" s="256"/>
      <c r="GY42" s="256"/>
      <c r="GZ42" s="256"/>
      <c r="HA42" s="256"/>
      <c r="HB42" s="256"/>
      <c r="HC42" s="256"/>
      <c r="HD42" s="256"/>
      <c r="HE42" s="256"/>
      <c r="HF42" s="256"/>
      <c r="HG42" s="256"/>
      <c r="HH42" s="256"/>
      <c r="HI42" s="256"/>
      <c r="HJ42" s="256"/>
      <c r="HK42" s="256"/>
      <c r="HL42" s="256"/>
      <c r="HM42" s="256"/>
      <c r="HN42" s="256"/>
      <c r="HO42" s="256"/>
      <c r="HP42" s="256"/>
      <c r="HQ42" s="256"/>
      <c r="HR42" s="256"/>
      <c r="HS42" s="256"/>
      <c r="HT42" s="256"/>
      <c r="HU42" s="256"/>
      <c r="HV42" s="256"/>
      <c r="HW42" s="256"/>
      <c r="HX42" s="256"/>
      <c r="HY42" s="256"/>
      <c r="HZ42" s="256"/>
      <c r="IA42" s="256"/>
      <c r="IB42" s="256"/>
      <c r="IC42" s="256"/>
      <c r="ID42" s="256"/>
      <c r="IE42" s="256"/>
      <c r="IF42" s="256"/>
      <c r="IG42" s="256"/>
      <c r="IH42" s="256"/>
      <c r="II42" s="256"/>
      <c r="IJ42" s="256"/>
      <c r="IK42" s="256"/>
      <c r="IL42" s="256"/>
      <c r="IM42" s="256"/>
      <c r="IN42" s="256"/>
      <c r="IO42" s="256"/>
      <c r="IP42" s="256"/>
      <c r="IQ42" s="256"/>
      <c r="IR42" s="256"/>
      <c r="IS42" s="256"/>
      <c r="IT42" s="256"/>
      <c r="IU42" s="256"/>
      <c r="IV42" s="256"/>
      <c r="IW42" s="256"/>
      <c r="IX42" s="256"/>
      <c r="IY42" s="256"/>
      <c r="IZ42" s="256"/>
      <c r="JA42" s="256"/>
      <c r="JB42" s="256"/>
      <c r="JC42" s="256"/>
      <c r="JD42" s="256"/>
      <c r="JE42" s="256"/>
      <c r="JF42" s="256"/>
      <c r="JG42" s="256"/>
      <c r="JH42" s="256"/>
      <c r="JI42" s="256"/>
      <c r="JJ42" s="256"/>
      <c r="JK42" s="256"/>
      <c r="JL42" s="256"/>
      <c r="JM42" s="256"/>
      <c r="JN42" s="256"/>
      <c r="JO42" s="256"/>
      <c r="JP42" s="256"/>
      <c r="JQ42" s="256"/>
      <c r="JR42" s="256"/>
      <c r="JS42" s="256"/>
      <c r="JT42" s="256"/>
      <c r="JU42" s="256"/>
      <c r="JV42" s="256"/>
      <c r="JW42" s="256"/>
      <c r="JX42" s="256"/>
      <c r="JY42" s="256"/>
      <c r="JZ42" s="256"/>
      <c r="KA42" s="256"/>
      <c r="KB42" s="256"/>
      <c r="KC42" s="256"/>
      <c r="KD42" s="256"/>
      <c r="KE42" s="256"/>
      <c r="KF42" s="256"/>
      <c r="KG42" s="256"/>
      <c r="KH42" s="256"/>
      <c r="KI42" s="256"/>
      <c r="KJ42" s="256"/>
      <c r="KK42" s="256"/>
      <c r="KL42" s="256"/>
      <c r="KM42" s="256"/>
      <c r="KN42" s="256"/>
      <c r="KO42" s="256"/>
      <c r="KP42" s="256"/>
      <c r="KQ42" s="256"/>
      <c r="KR42" s="256"/>
      <c r="KS42" s="256"/>
      <c r="KT42" s="256"/>
      <c r="KU42" s="256"/>
      <c r="KV42" s="256"/>
      <c r="KW42" s="256"/>
      <c r="KX42" s="256"/>
      <c r="KY42" s="256"/>
      <c r="KZ42" s="256"/>
      <c r="LA42" s="256"/>
      <c r="LB42" s="256"/>
      <c r="LC42" s="256"/>
      <c r="LD42" s="256"/>
      <c r="LE42" s="256"/>
      <c r="LF42" s="256"/>
      <c r="LG42" s="256"/>
      <c r="LH42" s="256"/>
      <c r="LI42" s="256"/>
      <c r="LJ42" s="256"/>
      <c r="LK42" s="256"/>
      <c r="LL42" s="256"/>
      <c r="LM42" s="256"/>
      <c r="LN42" s="256"/>
      <c r="LO42" s="256"/>
      <c r="LP42" s="256"/>
      <c r="LQ42" s="256"/>
      <c r="LR42" s="256"/>
      <c r="LS42" s="256"/>
      <c r="LT42" s="256"/>
      <c r="LU42" s="256"/>
      <c r="LV42" s="256"/>
      <c r="LW42" s="256"/>
      <c r="LX42" s="256"/>
      <c r="LY42" s="256"/>
      <c r="LZ42" s="256"/>
      <c r="MA42" s="256"/>
      <c r="MB42" s="256"/>
      <c r="MC42" s="256"/>
      <c r="MD42" s="256"/>
      <c r="ME42" s="256"/>
      <c r="MF42" s="256"/>
      <c r="MG42" s="256"/>
      <c r="MH42" s="256"/>
      <c r="MI42" s="256"/>
      <c r="MJ42" s="256"/>
      <c r="MK42" s="256"/>
      <c r="ML42" s="256"/>
      <c r="MM42" s="256"/>
      <c r="MN42" s="256"/>
      <c r="MO42" s="256"/>
      <c r="MP42" s="256"/>
      <c r="MQ42" s="256"/>
      <c r="MR42" s="256"/>
      <c r="MS42" s="256"/>
      <c r="MT42" s="256"/>
      <c r="MU42" s="256"/>
      <c r="MV42" s="256"/>
      <c r="MW42" s="256"/>
      <c r="MX42" s="256"/>
      <c r="MY42" s="256"/>
      <c r="MZ42" s="256"/>
      <c r="NA42" s="256"/>
      <c r="NB42" s="256"/>
      <c r="NC42" s="256"/>
      <c r="ND42" s="256"/>
      <c r="NE42" s="256"/>
      <c r="NF42" s="256"/>
      <c r="NG42" s="256"/>
      <c r="NH42" s="256"/>
      <c r="NI42" s="256"/>
      <c r="NJ42" s="256"/>
      <c r="NK42" s="256"/>
      <c r="NL42" s="256"/>
      <c r="NM42" s="256"/>
      <c r="NN42" s="256"/>
      <c r="NO42" s="256"/>
      <c r="NP42" s="256"/>
      <c r="NQ42" s="256"/>
      <c r="NR42" s="256"/>
      <c r="NS42" s="256"/>
      <c r="NT42" s="256"/>
      <c r="NU42" s="256"/>
      <c r="NV42" s="256"/>
      <c r="NW42" s="256"/>
      <c r="NX42" s="256"/>
      <c r="NY42" s="256"/>
      <c r="NZ42" s="256"/>
      <c r="OA42" s="256"/>
      <c r="OB42" s="256"/>
      <c r="OC42" s="256"/>
      <c r="OD42" s="256"/>
      <c r="OE42" s="256"/>
      <c r="OF42" s="256"/>
      <c r="OG42" s="256"/>
      <c r="OH42" s="256"/>
      <c r="OI42" s="256"/>
      <c r="OJ42" s="256"/>
      <c r="OK42" s="256"/>
      <c r="OL42" s="256"/>
      <c r="OM42" s="256"/>
      <c r="ON42" s="256"/>
      <c r="OO42" s="256"/>
      <c r="OP42" s="256"/>
      <c r="OQ42" s="256"/>
      <c r="OR42" s="256"/>
      <c r="OS42" s="256"/>
      <c r="OT42" s="256"/>
      <c r="OU42" s="256"/>
      <c r="OV42" s="256"/>
      <c r="OW42" s="256"/>
      <c r="OX42" s="256"/>
      <c r="OY42" s="256"/>
      <c r="OZ42" s="256"/>
      <c r="PA42" s="256"/>
      <c r="PB42" s="256"/>
      <c r="PC42" s="256"/>
      <c r="PD42" s="256"/>
      <c r="PE42" s="256"/>
      <c r="PF42" s="256"/>
      <c r="PG42" s="256"/>
      <c r="PH42" s="256"/>
      <c r="PI42" s="256"/>
      <c r="PJ42" s="256"/>
      <c r="PK42" s="256"/>
      <c r="PL42" s="256"/>
      <c r="PM42" s="256"/>
      <c r="PN42" s="256"/>
      <c r="PO42" s="256"/>
      <c r="PP42" s="256"/>
      <c r="PQ42" s="256"/>
      <c r="PR42" s="256"/>
      <c r="PS42" s="256"/>
      <c r="PT42" s="256"/>
      <c r="PU42" s="256"/>
      <c r="PV42" s="256"/>
      <c r="PW42" s="256"/>
      <c r="PX42" s="256"/>
      <c r="PY42" s="256"/>
      <c r="PZ42" s="256"/>
      <c r="QA42" s="256"/>
      <c r="QB42" s="256"/>
      <c r="QC42" s="256"/>
      <c r="QD42" s="256"/>
      <c r="QE42" s="256"/>
      <c r="QF42" s="256"/>
      <c r="QG42" s="256"/>
      <c r="QH42" s="256"/>
    </row>
    <row r="43" spans="1:450" s="77" customFormat="1" ht="13.5" customHeight="1" x14ac:dyDescent="0.3">
      <c r="A43" s="178"/>
      <c r="B43" s="178"/>
      <c r="C43" s="84"/>
      <c r="D43" s="85"/>
      <c r="E43" s="178"/>
      <c r="F43" s="180"/>
      <c r="G43" s="178"/>
      <c r="H43" s="179"/>
      <c r="I43" s="82"/>
      <c r="K43" s="171"/>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C43" s="256"/>
      <c r="DD43" s="256"/>
      <c r="DE43" s="256"/>
      <c r="DF43" s="256"/>
      <c r="DG43" s="256"/>
      <c r="DH43" s="256"/>
      <c r="DI43" s="256"/>
      <c r="DJ43" s="256"/>
      <c r="DK43" s="256"/>
      <c r="DL43" s="256"/>
      <c r="DM43" s="256"/>
      <c r="DN43" s="256"/>
      <c r="DO43" s="256"/>
      <c r="DP43" s="256"/>
      <c r="DQ43" s="256"/>
      <c r="DR43" s="256"/>
      <c r="DS43" s="256"/>
      <c r="DT43" s="256"/>
      <c r="DU43" s="256"/>
      <c r="DV43" s="256"/>
      <c r="DW43" s="256"/>
      <c r="DX43" s="256"/>
      <c r="DY43" s="256"/>
      <c r="DZ43" s="256"/>
      <c r="EA43" s="256"/>
      <c r="EB43" s="256"/>
      <c r="EC43" s="256"/>
      <c r="ED43" s="256"/>
      <c r="EE43" s="256"/>
      <c r="EF43" s="256"/>
      <c r="EG43" s="256"/>
      <c r="EH43" s="256"/>
      <c r="EI43" s="256"/>
      <c r="EJ43" s="256"/>
      <c r="EK43" s="256"/>
      <c r="EL43" s="256"/>
      <c r="EM43" s="256"/>
      <c r="EN43" s="256"/>
      <c r="EO43" s="256"/>
      <c r="EP43" s="256"/>
      <c r="EQ43" s="256"/>
      <c r="ER43" s="256"/>
      <c r="ES43" s="256"/>
      <c r="ET43" s="256"/>
      <c r="EU43" s="256"/>
      <c r="EV43" s="256"/>
      <c r="EW43" s="256"/>
      <c r="EX43" s="256"/>
      <c r="EY43" s="256"/>
      <c r="EZ43" s="256"/>
      <c r="FA43" s="256"/>
      <c r="FB43" s="256"/>
      <c r="FC43" s="256"/>
      <c r="FD43" s="256"/>
      <c r="FE43" s="256"/>
      <c r="FF43" s="256"/>
      <c r="FG43" s="256"/>
      <c r="FH43" s="256"/>
      <c r="FI43" s="256"/>
      <c r="FJ43" s="256"/>
      <c r="FK43" s="256"/>
      <c r="FL43" s="256"/>
      <c r="FM43" s="256"/>
      <c r="FN43" s="256"/>
      <c r="FO43" s="256"/>
      <c r="FP43" s="256"/>
      <c r="FQ43" s="256"/>
      <c r="FR43" s="256"/>
      <c r="FS43" s="256"/>
      <c r="FT43" s="256"/>
      <c r="FU43" s="256"/>
      <c r="FV43" s="256"/>
      <c r="FW43" s="256"/>
      <c r="FX43" s="256"/>
      <c r="FY43" s="256"/>
      <c r="FZ43" s="256"/>
      <c r="GA43" s="256"/>
      <c r="GB43" s="256"/>
      <c r="GC43" s="256"/>
      <c r="GD43" s="256"/>
      <c r="GE43" s="256"/>
      <c r="GF43" s="256"/>
      <c r="GG43" s="256"/>
      <c r="GH43" s="256"/>
      <c r="GI43" s="256"/>
      <c r="GJ43" s="256"/>
      <c r="GK43" s="256"/>
      <c r="GL43" s="256"/>
      <c r="GM43" s="256"/>
      <c r="GN43" s="256"/>
      <c r="GO43" s="256"/>
      <c r="GP43" s="256"/>
      <c r="GQ43" s="256"/>
      <c r="GR43" s="256"/>
      <c r="GS43" s="256"/>
      <c r="GT43" s="256"/>
      <c r="GU43" s="256"/>
      <c r="GV43" s="256"/>
      <c r="GW43" s="256"/>
      <c r="GX43" s="256"/>
      <c r="GY43" s="256"/>
      <c r="GZ43" s="256"/>
      <c r="HA43" s="256"/>
      <c r="HB43" s="256"/>
      <c r="HC43" s="256"/>
      <c r="HD43" s="256"/>
      <c r="HE43" s="256"/>
      <c r="HF43" s="256"/>
      <c r="HG43" s="256"/>
      <c r="HH43" s="256"/>
      <c r="HI43" s="256"/>
      <c r="HJ43" s="256"/>
      <c r="HK43" s="256"/>
      <c r="HL43" s="256"/>
      <c r="HM43" s="256"/>
      <c r="HN43" s="256"/>
      <c r="HO43" s="256"/>
      <c r="HP43" s="256"/>
      <c r="HQ43" s="256"/>
      <c r="HR43" s="256"/>
      <c r="HS43" s="256"/>
      <c r="HT43" s="256"/>
      <c r="HU43" s="256"/>
      <c r="HV43" s="256"/>
      <c r="HW43" s="256"/>
      <c r="HX43" s="256"/>
      <c r="HY43" s="256"/>
      <c r="HZ43" s="256"/>
      <c r="IA43" s="256"/>
      <c r="IB43" s="256"/>
      <c r="IC43" s="256"/>
      <c r="ID43" s="256"/>
      <c r="IE43" s="256"/>
      <c r="IF43" s="256"/>
      <c r="IG43" s="256"/>
      <c r="IH43" s="256"/>
      <c r="II43" s="256"/>
      <c r="IJ43" s="256"/>
      <c r="IK43" s="256"/>
      <c r="IL43" s="256"/>
      <c r="IM43" s="256"/>
      <c r="IN43" s="256"/>
      <c r="IO43" s="256"/>
      <c r="IP43" s="256"/>
      <c r="IQ43" s="256"/>
      <c r="IR43" s="256"/>
      <c r="IS43" s="256"/>
      <c r="IT43" s="256"/>
      <c r="IU43" s="256"/>
      <c r="IV43" s="256"/>
      <c r="IW43" s="256"/>
      <c r="IX43" s="256"/>
      <c r="IY43" s="256"/>
      <c r="IZ43" s="256"/>
      <c r="JA43" s="256"/>
      <c r="JB43" s="256"/>
      <c r="JC43" s="256"/>
      <c r="JD43" s="256"/>
      <c r="JE43" s="256"/>
      <c r="JF43" s="256"/>
      <c r="JG43" s="256"/>
      <c r="JH43" s="256"/>
      <c r="JI43" s="256"/>
      <c r="JJ43" s="256"/>
      <c r="JK43" s="256"/>
      <c r="JL43" s="256"/>
      <c r="JM43" s="256"/>
      <c r="JN43" s="256"/>
      <c r="JO43" s="256"/>
      <c r="JP43" s="256"/>
      <c r="JQ43" s="256"/>
      <c r="JR43" s="256"/>
      <c r="JS43" s="256"/>
      <c r="JT43" s="256"/>
      <c r="JU43" s="256"/>
      <c r="JV43" s="256"/>
      <c r="JW43" s="256"/>
      <c r="JX43" s="256"/>
      <c r="JY43" s="256"/>
      <c r="JZ43" s="256"/>
      <c r="KA43" s="256"/>
      <c r="KB43" s="256"/>
      <c r="KC43" s="256"/>
      <c r="KD43" s="256"/>
      <c r="KE43" s="256"/>
      <c r="KF43" s="256"/>
      <c r="KG43" s="256"/>
      <c r="KH43" s="256"/>
      <c r="KI43" s="256"/>
      <c r="KJ43" s="256"/>
      <c r="KK43" s="256"/>
      <c r="KL43" s="256"/>
      <c r="KM43" s="256"/>
      <c r="KN43" s="256"/>
      <c r="KO43" s="256"/>
      <c r="KP43" s="256"/>
      <c r="KQ43" s="256"/>
      <c r="KR43" s="256"/>
      <c r="KS43" s="256"/>
      <c r="KT43" s="256"/>
      <c r="KU43" s="256"/>
      <c r="KV43" s="256"/>
      <c r="KW43" s="256"/>
      <c r="KX43" s="256"/>
      <c r="KY43" s="256"/>
      <c r="KZ43" s="256"/>
      <c r="LA43" s="256"/>
      <c r="LB43" s="256"/>
      <c r="LC43" s="256"/>
      <c r="LD43" s="256"/>
      <c r="LE43" s="256"/>
      <c r="LF43" s="256"/>
      <c r="LG43" s="256"/>
      <c r="LH43" s="256"/>
      <c r="LI43" s="256"/>
      <c r="LJ43" s="256"/>
      <c r="LK43" s="256"/>
      <c r="LL43" s="256"/>
      <c r="LM43" s="256"/>
      <c r="LN43" s="256"/>
      <c r="LO43" s="256"/>
      <c r="LP43" s="256"/>
      <c r="LQ43" s="256"/>
      <c r="LR43" s="256"/>
      <c r="LS43" s="256"/>
      <c r="LT43" s="256"/>
      <c r="LU43" s="256"/>
      <c r="LV43" s="256"/>
      <c r="LW43" s="256"/>
      <c r="LX43" s="256"/>
      <c r="LY43" s="256"/>
      <c r="LZ43" s="256"/>
      <c r="MA43" s="256"/>
      <c r="MB43" s="256"/>
      <c r="MC43" s="256"/>
      <c r="MD43" s="256"/>
      <c r="ME43" s="256"/>
      <c r="MF43" s="256"/>
      <c r="MG43" s="256"/>
      <c r="MH43" s="256"/>
      <c r="MI43" s="256"/>
      <c r="MJ43" s="256"/>
      <c r="MK43" s="256"/>
      <c r="ML43" s="256"/>
      <c r="MM43" s="256"/>
      <c r="MN43" s="256"/>
      <c r="MO43" s="256"/>
      <c r="MP43" s="256"/>
      <c r="MQ43" s="256"/>
      <c r="MR43" s="256"/>
      <c r="MS43" s="256"/>
      <c r="MT43" s="256"/>
      <c r="MU43" s="256"/>
      <c r="MV43" s="256"/>
      <c r="MW43" s="256"/>
      <c r="MX43" s="256"/>
      <c r="MY43" s="256"/>
      <c r="MZ43" s="256"/>
      <c r="NA43" s="256"/>
      <c r="NB43" s="256"/>
      <c r="NC43" s="256"/>
      <c r="ND43" s="256"/>
      <c r="NE43" s="256"/>
      <c r="NF43" s="256"/>
      <c r="NG43" s="256"/>
      <c r="NH43" s="256"/>
      <c r="NI43" s="256"/>
      <c r="NJ43" s="256"/>
      <c r="NK43" s="256"/>
      <c r="NL43" s="256"/>
      <c r="NM43" s="256"/>
      <c r="NN43" s="256"/>
      <c r="NO43" s="256"/>
      <c r="NP43" s="256"/>
      <c r="NQ43" s="256"/>
      <c r="NR43" s="256"/>
      <c r="NS43" s="256"/>
      <c r="NT43" s="256"/>
      <c r="NU43" s="256"/>
      <c r="NV43" s="256"/>
      <c r="NW43" s="256"/>
      <c r="NX43" s="256"/>
      <c r="NY43" s="256"/>
      <c r="NZ43" s="256"/>
      <c r="OA43" s="256"/>
      <c r="OB43" s="256"/>
      <c r="OC43" s="256"/>
      <c r="OD43" s="256"/>
      <c r="OE43" s="256"/>
      <c r="OF43" s="256"/>
      <c r="OG43" s="256"/>
      <c r="OH43" s="256"/>
      <c r="OI43" s="256"/>
      <c r="OJ43" s="256"/>
      <c r="OK43" s="256"/>
      <c r="OL43" s="256"/>
      <c r="OM43" s="256"/>
      <c r="ON43" s="256"/>
      <c r="OO43" s="256"/>
      <c r="OP43" s="256"/>
      <c r="OQ43" s="256"/>
      <c r="OR43" s="256"/>
      <c r="OS43" s="256"/>
      <c r="OT43" s="256"/>
      <c r="OU43" s="256"/>
      <c r="OV43" s="256"/>
      <c r="OW43" s="256"/>
      <c r="OX43" s="256"/>
      <c r="OY43" s="256"/>
      <c r="OZ43" s="256"/>
      <c r="PA43" s="256"/>
      <c r="PB43" s="256"/>
      <c r="PC43" s="256"/>
      <c r="PD43" s="256"/>
      <c r="PE43" s="256"/>
      <c r="PF43" s="256"/>
      <c r="PG43" s="256"/>
      <c r="PH43" s="256"/>
      <c r="PI43" s="256"/>
      <c r="PJ43" s="256"/>
      <c r="PK43" s="256"/>
      <c r="PL43" s="256"/>
      <c r="PM43" s="256"/>
      <c r="PN43" s="256"/>
      <c r="PO43" s="256"/>
      <c r="PP43" s="256"/>
      <c r="PQ43" s="256"/>
      <c r="PR43" s="256"/>
      <c r="PS43" s="256"/>
      <c r="PT43" s="256"/>
      <c r="PU43" s="256"/>
      <c r="PV43" s="256"/>
      <c r="PW43" s="256"/>
      <c r="PX43" s="256"/>
      <c r="PY43" s="256"/>
      <c r="PZ43" s="256"/>
      <c r="QA43" s="256"/>
      <c r="QB43" s="256"/>
      <c r="QC43" s="256"/>
      <c r="QD43" s="256"/>
      <c r="QE43" s="256"/>
      <c r="QF43" s="256"/>
      <c r="QG43" s="256"/>
      <c r="QH43" s="256"/>
    </row>
    <row r="44" spans="1:450" s="77" customFormat="1" x14ac:dyDescent="0.25">
      <c r="A44" s="81" t="s">
        <v>179</v>
      </c>
      <c r="B44" s="81" t="s">
        <v>239</v>
      </c>
      <c r="C44" s="81" t="s">
        <v>112</v>
      </c>
      <c r="D44" s="87">
        <v>2303</v>
      </c>
      <c r="E44" s="85">
        <v>0.75</v>
      </c>
      <c r="F44" s="169">
        <f>D44*E44</f>
        <v>1727.25</v>
      </c>
      <c r="G44" s="85">
        <v>0.25</v>
      </c>
      <c r="H44" s="86">
        <f>G44*D44</f>
        <v>575.75</v>
      </c>
      <c r="I44" s="82"/>
      <c r="J44" s="170">
        <f t="shared" si="2"/>
        <v>20727</v>
      </c>
      <c r="K44" s="172"/>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256"/>
      <c r="BY44" s="256"/>
      <c r="BZ44" s="256"/>
      <c r="CA44" s="256"/>
      <c r="CB44" s="256"/>
      <c r="CC44" s="256"/>
      <c r="CD44" s="256"/>
      <c r="CE44" s="256"/>
      <c r="CF44" s="256"/>
      <c r="CG44" s="256"/>
      <c r="CH44" s="256"/>
      <c r="CI44" s="256"/>
      <c r="CJ44" s="256"/>
      <c r="CK44" s="256"/>
      <c r="CL44" s="256"/>
      <c r="CM44" s="256"/>
      <c r="CN44" s="256"/>
      <c r="CO44" s="256"/>
      <c r="CP44" s="256"/>
      <c r="CQ44" s="256"/>
      <c r="CR44" s="256"/>
      <c r="CS44" s="256"/>
      <c r="CT44" s="256"/>
      <c r="CU44" s="256"/>
      <c r="CV44" s="256"/>
      <c r="CW44" s="256"/>
      <c r="CX44" s="256"/>
      <c r="CY44" s="256"/>
      <c r="CZ44" s="256"/>
      <c r="DA44" s="256"/>
      <c r="DB44" s="256"/>
      <c r="DC44" s="256"/>
      <c r="DD44" s="256"/>
      <c r="DE44" s="256"/>
      <c r="DF44" s="256"/>
      <c r="DG44" s="256"/>
      <c r="DH44" s="256"/>
      <c r="DI44" s="256"/>
      <c r="DJ44" s="256"/>
      <c r="DK44" s="256"/>
      <c r="DL44" s="256"/>
      <c r="DM44" s="256"/>
      <c r="DN44" s="256"/>
      <c r="DO44" s="256"/>
      <c r="DP44" s="256"/>
      <c r="DQ44" s="256"/>
      <c r="DR44" s="256"/>
      <c r="DS44" s="256"/>
      <c r="DT44" s="256"/>
      <c r="DU44" s="256"/>
      <c r="DV44" s="256"/>
      <c r="DW44" s="256"/>
      <c r="DX44" s="256"/>
      <c r="DY44" s="256"/>
      <c r="DZ44" s="256"/>
      <c r="EA44" s="256"/>
      <c r="EB44" s="256"/>
      <c r="EC44" s="256"/>
      <c r="ED44" s="256"/>
      <c r="EE44" s="256"/>
      <c r="EF44" s="256"/>
      <c r="EG44" s="256"/>
      <c r="EH44" s="256"/>
      <c r="EI44" s="256"/>
      <c r="EJ44" s="256"/>
      <c r="EK44" s="256"/>
      <c r="EL44" s="256"/>
      <c r="EM44" s="256"/>
      <c r="EN44" s="256"/>
      <c r="EO44" s="256"/>
      <c r="EP44" s="256"/>
      <c r="EQ44" s="256"/>
      <c r="ER44" s="256"/>
      <c r="ES44" s="256"/>
      <c r="ET44" s="256"/>
      <c r="EU44" s="256"/>
      <c r="EV44" s="256"/>
      <c r="EW44" s="256"/>
      <c r="EX44" s="256"/>
      <c r="EY44" s="256"/>
      <c r="EZ44" s="256"/>
      <c r="FA44" s="256"/>
      <c r="FB44" s="256"/>
      <c r="FC44" s="256"/>
      <c r="FD44" s="256"/>
      <c r="FE44" s="256"/>
      <c r="FF44" s="256"/>
      <c r="FG44" s="256"/>
      <c r="FH44" s="256"/>
      <c r="FI44" s="256"/>
      <c r="FJ44" s="256"/>
      <c r="FK44" s="256"/>
      <c r="FL44" s="256"/>
      <c r="FM44" s="256"/>
      <c r="FN44" s="256"/>
      <c r="FO44" s="256"/>
      <c r="FP44" s="256"/>
      <c r="FQ44" s="256"/>
      <c r="FR44" s="256"/>
      <c r="FS44" s="256"/>
      <c r="FT44" s="256"/>
      <c r="FU44" s="256"/>
      <c r="FV44" s="256"/>
      <c r="FW44" s="256"/>
      <c r="FX44" s="256"/>
      <c r="FY44" s="256"/>
      <c r="FZ44" s="256"/>
      <c r="GA44" s="256"/>
      <c r="GB44" s="256"/>
      <c r="GC44" s="256"/>
      <c r="GD44" s="256"/>
      <c r="GE44" s="256"/>
      <c r="GF44" s="256"/>
      <c r="GG44" s="256"/>
      <c r="GH44" s="256"/>
      <c r="GI44" s="256"/>
      <c r="GJ44" s="256"/>
      <c r="GK44" s="256"/>
      <c r="GL44" s="256"/>
      <c r="GM44" s="256"/>
      <c r="GN44" s="256"/>
      <c r="GO44" s="256"/>
      <c r="GP44" s="256"/>
      <c r="GQ44" s="256"/>
      <c r="GR44" s="256"/>
      <c r="GS44" s="256"/>
      <c r="GT44" s="256"/>
      <c r="GU44" s="256"/>
      <c r="GV44" s="256"/>
      <c r="GW44" s="256"/>
      <c r="GX44" s="256"/>
      <c r="GY44" s="256"/>
      <c r="GZ44" s="256"/>
      <c r="HA44" s="256"/>
      <c r="HB44" s="256"/>
      <c r="HC44" s="256"/>
      <c r="HD44" s="256"/>
      <c r="HE44" s="256"/>
      <c r="HF44" s="256"/>
      <c r="HG44" s="256"/>
      <c r="HH44" s="256"/>
      <c r="HI44" s="256"/>
      <c r="HJ44" s="256"/>
      <c r="HK44" s="256"/>
      <c r="HL44" s="256"/>
      <c r="HM44" s="256"/>
      <c r="HN44" s="256"/>
      <c r="HO44" s="256"/>
      <c r="HP44" s="256"/>
      <c r="HQ44" s="256"/>
      <c r="HR44" s="256"/>
      <c r="HS44" s="256"/>
      <c r="HT44" s="256"/>
      <c r="HU44" s="256"/>
      <c r="HV44" s="256"/>
      <c r="HW44" s="256"/>
      <c r="HX44" s="256"/>
      <c r="HY44" s="256"/>
      <c r="HZ44" s="256"/>
      <c r="IA44" s="256"/>
      <c r="IB44" s="256"/>
      <c r="IC44" s="256"/>
      <c r="ID44" s="256"/>
      <c r="IE44" s="256"/>
      <c r="IF44" s="256"/>
      <c r="IG44" s="256"/>
      <c r="IH44" s="256"/>
      <c r="II44" s="256"/>
      <c r="IJ44" s="256"/>
      <c r="IK44" s="256"/>
      <c r="IL44" s="256"/>
      <c r="IM44" s="256"/>
      <c r="IN44" s="256"/>
      <c r="IO44" s="256"/>
      <c r="IP44" s="256"/>
      <c r="IQ44" s="256"/>
      <c r="IR44" s="256"/>
      <c r="IS44" s="256"/>
      <c r="IT44" s="256"/>
      <c r="IU44" s="256"/>
      <c r="IV44" s="256"/>
      <c r="IW44" s="256"/>
      <c r="IX44" s="256"/>
      <c r="IY44" s="256"/>
      <c r="IZ44" s="256"/>
      <c r="JA44" s="256"/>
      <c r="JB44" s="256"/>
      <c r="JC44" s="256"/>
      <c r="JD44" s="256"/>
      <c r="JE44" s="256"/>
      <c r="JF44" s="256"/>
      <c r="JG44" s="256"/>
      <c r="JH44" s="256"/>
      <c r="JI44" s="256"/>
      <c r="JJ44" s="256"/>
      <c r="JK44" s="256"/>
      <c r="JL44" s="256"/>
      <c r="JM44" s="256"/>
      <c r="JN44" s="256"/>
      <c r="JO44" s="256"/>
      <c r="JP44" s="256"/>
      <c r="JQ44" s="256"/>
      <c r="JR44" s="256"/>
      <c r="JS44" s="256"/>
      <c r="JT44" s="256"/>
      <c r="JU44" s="256"/>
      <c r="JV44" s="256"/>
      <c r="JW44" s="256"/>
      <c r="JX44" s="256"/>
      <c r="JY44" s="256"/>
      <c r="JZ44" s="256"/>
      <c r="KA44" s="256"/>
      <c r="KB44" s="256"/>
      <c r="KC44" s="256"/>
      <c r="KD44" s="256"/>
      <c r="KE44" s="256"/>
      <c r="KF44" s="256"/>
      <c r="KG44" s="256"/>
      <c r="KH44" s="256"/>
      <c r="KI44" s="256"/>
      <c r="KJ44" s="256"/>
      <c r="KK44" s="256"/>
      <c r="KL44" s="256"/>
      <c r="KM44" s="256"/>
      <c r="KN44" s="256"/>
      <c r="KO44" s="256"/>
      <c r="KP44" s="256"/>
      <c r="KQ44" s="256"/>
      <c r="KR44" s="256"/>
      <c r="KS44" s="256"/>
      <c r="KT44" s="256"/>
      <c r="KU44" s="256"/>
      <c r="KV44" s="256"/>
      <c r="KW44" s="256"/>
      <c r="KX44" s="256"/>
      <c r="KY44" s="256"/>
      <c r="KZ44" s="256"/>
      <c r="LA44" s="256"/>
      <c r="LB44" s="256"/>
      <c r="LC44" s="256"/>
      <c r="LD44" s="256"/>
      <c r="LE44" s="256"/>
      <c r="LF44" s="256"/>
      <c r="LG44" s="256"/>
      <c r="LH44" s="256"/>
      <c r="LI44" s="256"/>
      <c r="LJ44" s="256"/>
      <c r="LK44" s="256"/>
      <c r="LL44" s="256"/>
      <c r="LM44" s="256"/>
      <c r="LN44" s="256"/>
      <c r="LO44" s="256"/>
      <c r="LP44" s="256"/>
      <c r="LQ44" s="256"/>
      <c r="LR44" s="256"/>
      <c r="LS44" s="256"/>
      <c r="LT44" s="256"/>
      <c r="LU44" s="256"/>
      <c r="LV44" s="256"/>
      <c r="LW44" s="256"/>
      <c r="LX44" s="256"/>
      <c r="LY44" s="256"/>
      <c r="LZ44" s="256"/>
      <c r="MA44" s="256"/>
      <c r="MB44" s="256"/>
      <c r="MC44" s="256"/>
      <c r="MD44" s="256"/>
      <c r="ME44" s="256"/>
      <c r="MF44" s="256"/>
      <c r="MG44" s="256"/>
      <c r="MH44" s="256"/>
      <c r="MI44" s="256"/>
      <c r="MJ44" s="256"/>
      <c r="MK44" s="256"/>
      <c r="ML44" s="256"/>
      <c r="MM44" s="256"/>
      <c r="MN44" s="256"/>
      <c r="MO44" s="256"/>
      <c r="MP44" s="256"/>
      <c r="MQ44" s="256"/>
      <c r="MR44" s="256"/>
      <c r="MS44" s="256"/>
      <c r="MT44" s="256"/>
      <c r="MU44" s="256"/>
      <c r="MV44" s="256"/>
      <c r="MW44" s="256"/>
      <c r="MX44" s="256"/>
      <c r="MY44" s="256"/>
      <c r="MZ44" s="256"/>
      <c r="NA44" s="256"/>
      <c r="NB44" s="256"/>
      <c r="NC44" s="256"/>
      <c r="ND44" s="256"/>
      <c r="NE44" s="256"/>
      <c r="NF44" s="256"/>
      <c r="NG44" s="256"/>
      <c r="NH44" s="256"/>
      <c r="NI44" s="256"/>
      <c r="NJ44" s="256"/>
      <c r="NK44" s="256"/>
      <c r="NL44" s="256"/>
      <c r="NM44" s="256"/>
      <c r="NN44" s="256"/>
      <c r="NO44" s="256"/>
      <c r="NP44" s="256"/>
      <c r="NQ44" s="256"/>
      <c r="NR44" s="256"/>
      <c r="NS44" s="256"/>
      <c r="NT44" s="256"/>
      <c r="NU44" s="256"/>
      <c r="NV44" s="256"/>
      <c r="NW44" s="256"/>
      <c r="NX44" s="256"/>
      <c r="NY44" s="256"/>
      <c r="NZ44" s="256"/>
      <c r="OA44" s="256"/>
      <c r="OB44" s="256"/>
      <c r="OC44" s="256"/>
      <c r="OD44" s="256"/>
      <c r="OE44" s="256"/>
      <c r="OF44" s="256"/>
      <c r="OG44" s="256"/>
      <c r="OH44" s="256"/>
      <c r="OI44" s="256"/>
      <c r="OJ44" s="256"/>
      <c r="OK44" s="256"/>
      <c r="OL44" s="256"/>
      <c r="OM44" s="256"/>
      <c r="ON44" s="256"/>
      <c r="OO44" s="256"/>
      <c r="OP44" s="256"/>
      <c r="OQ44" s="256"/>
      <c r="OR44" s="256"/>
      <c r="OS44" s="256"/>
      <c r="OT44" s="256"/>
      <c r="OU44" s="256"/>
      <c r="OV44" s="256"/>
      <c r="OW44" s="256"/>
      <c r="OX44" s="256"/>
      <c r="OY44" s="256"/>
      <c r="OZ44" s="256"/>
      <c r="PA44" s="256"/>
      <c r="PB44" s="256"/>
      <c r="PC44" s="256"/>
      <c r="PD44" s="256"/>
      <c r="PE44" s="256"/>
      <c r="PF44" s="256"/>
      <c r="PG44" s="256"/>
      <c r="PH44" s="256"/>
      <c r="PI44" s="256"/>
      <c r="PJ44" s="256"/>
      <c r="PK44" s="256"/>
      <c r="PL44" s="256"/>
      <c r="PM44" s="256"/>
      <c r="PN44" s="256"/>
      <c r="PO44" s="256"/>
      <c r="PP44" s="256"/>
      <c r="PQ44" s="256"/>
      <c r="PR44" s="256"/>
      <c r="PS44" s="256"/>
      <c r="PT44" s="256"/>
      <c r="PU44" s="256"/>
      <c r="PV44" s="256"/>
      <c r="PW44" s="256"/>
      <c r="PX44" s="256"/>
      <c r="PY44" s="256"/>
      <c r="PZ44" s="256"/>
      <c r="QA44" s="256"/>
      <c r="QB44" s="256"/>
      <c r="QC44" s="256"/>
      <c r="QD44" s="256"/>
      <c r="QE44" s="256"/>
      <c r="QF44" s="256"/>
      <c r="QG44" s="256"/>
      <c r="QH44" s="256"/>
    </row>
    <row r="45" spans="1:450" s="77" customFormat="1" x14ac:dyDescent="0.25">
      <c r="A45" s="81" t="s">
        <v>202</v>
      </c>
      <c r="B45" s="337" t="s">
        <v>1312</v>
      </c>
      <c r="C45" s="81" t="s">
        <v>112</v>
      </c>
      <c r="D45" s="87">
        <v>1121</v>
      </c>
      <c r="E45" s="85">
        <v>0.75</v>
      </c>
      <c r="F45" s="169">
        <f>D45*E45</f>
        <v>840.75</v>
      </c>
      <c r="G45" s="85">
        <v>0.25</v>
      </c>
      <c r="H45" s="86">
        <f>G45*D45</f>
        <v>280.25</v>
      </c>
      <c r="I45" s="82"/>
      <c r="J45" s="170">
        <f>F45*12</f>
        <v>10089</v>
      </c>
      <c r="K45" s="172">
        <f>SUM(J44:J45)</f>
        <v>30816</v>
      </c>
      <c r="L45" s="285">
        <f>K45</f>
        <v>30816</v>
      </c>
      <c r="M45" s="290" t="s">
        <v>1468</v>
      </c>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256"/>
      <c r="CJ45" s="256"/>
      <c r="CK45" s="256"/>
      <c r="CL45" s="256"/>
      <c r="CM45" s="256"/>
      <c r="CN45" s="256"/>
      <c r="CO45" s="256"/>
      <c r="CP45" s="256"/>
      <c r="CQ45" s="256"/>
      <c r="CR45" s="256"/>
      <c r="CS45" s="256"/>
      <c r="CT45" s="256"/>
      <c r="CU45" s="256"/>
      <c r="CV45" s="256"/>
      <c r="CW45" s="256"/>
      <c r="CX45" s="256"/>
      <c r="CY45" s="256"/>
      <c r="CZ45" s="256"/>
      <c r="DA45" s="256"/>
      <c r="DB45" s="256"/>
      <c r="DC45" s="256"/>
      <c r="DD45" s="256"/>
      <c r="DE45" s="256"/>
      <c r="DF45" s="256"/>
      <c r="DG45" s="256"/>
      <c r="DH45" s="256"/>
      <c r="DI45" s="256"/>
      <c r="DJ45" s="256"/>
      <c r="DK45" s="256"/>
      <c r="DL45" s="256"/>
      <c r="DM45" s="256"/>
      <c r="DN45" s="256"/>
      <c r="DO45" s="256"/>
      <c r="DP45" s="256"/>
      <c r="DQ45" s="256"/>
      <c r="DR45" s="256"/>
      <c r="DS45" s="256"/>
      <c r="DT45" s="256"/>
      <c r="DU45" s="256"/>
      <c r="DV45" s="256"/>
      <c r="DW45" s="256"/>
      <c r="DX45" s="256"/>
      <c r="DY45" s="256"/>
      <c r="DZ45" s="256"/>
      <c r="EA45" s="256"/>
      <c r="EB45" s="256"/>
      <c r="EC45" s="256"/>
      <c r="ED45" s="256"/>
      <c r="EE45" s="256"/>
      <c r="EF45" s="256"/>
      <c r="EG45" s="256"/>
      <c r="EH45" s="256"/>
      <c r="EI45" s="256"/>
      <c r="EJ45" s="256"/>
      <c r="EK45" s="256"/>
      <c r="EL45" s="256"/>
      <c r="EM45" s="256"/>
      <c r="EN45" s="256"/>
      <c r="EO45" s="256"/>
      <c r="EP45" s="256"/>
      <c r="EQ45" s="256"/>
      <c r="ER45" s="256"/>
      <c r="ES45" s="256"/>
      <c r="ET45" s="256"/>
      <c r="EU45" s="256"/>
      <c r="EV45" s="256"/>
      <c r="EW45" s="256"/>
      <c r="EX45" s="256"/>
      <c r="EY45" s="256"/>
      <c r="EZ45" s="256"/>
      <c r="FA45" s="256"/>
      <c r="FB45" s="256"/>
      <c r="FC45" s="256"/>
      <c r="FD45" s="256"/>
      <c r="FE45" s="256"/>
      <c r="FF45" s="256"/>
      <c r="FG45" s="256"/>
      <c r="FH45" s="256"/>
      <c r="FI45" s="256"/>
      <c r="FJ45" s="256"/>
      <c r="FK45" s="256"/>
      <c r="FL45" s="256"/>
      <c r="FM45" s="256"/>
      <c r="FN45" s="256"/>
      <c r="FO45" s="256"/>
      <c r="FP45" s="256"/>
      <c r="FQ45" s="256"/>
      <c r="FR45" s="256"/>
      <c r="FS45" s="256"/>
      <c r="FT45" s="256"/>
      <c r="FU45" s="256"/>
      <c r="FV45" s="256"/>
      <c r="FW45" s="256"/>
      <c r="FX45" s="256"/>
      <c r="FY45" s="256"/>
      <c r="FZ45" s="256"/>
      <c r="GA45" s="256"/>
      <c r="GB45" s="256"/>
      <c r="GC45" s="256"/>
      <c r="GD45" s="256"/>
      <c r="GE45" s="256"/>
      <c r="GF45" s="256"/>
      <c r="GG45" s="256"/>
      <c r="GH45" s="256"/>
      <c r="GI45" s="256"/>
      <c r="GJ45" s="256"/>
      <c r="GK45" s="256"/>
      <c r="GL45" s="256"/>
      <c r="GM45" s="256"/>
      <c r="GN45" s="256"/>
      <c r="GO45" s="256"/>
      <c r="GP45" s="256"/>
      <c r="GQ45" s="256"/>
      <c r="GR45" s="256"/>
      <c r="GS45" s="256"/>
      <c r="GT45" s="256"/>
      <c r="GU45" s="256"/>
      <c r="GV45" s="256"/>
      <c r="GW45" s="256"/>
      <c r="GX45" s="256"/>
      <c r="GY45" s="256"/>
      <c r="GZ45" s="256"/>
      <c r="HA45" s="256"/>
      <c r="HB45" s="256"/>
      <c r="HC45" s="256"/>
      <c r="HD45" s="256"/>
      <c r="HE45" s="256"/>
      <c r="HF45" s="256"/>
      <c r="HG45" s="256"/>
      <c r="HH45" s="256"/>
      <c r="HI45" s="256"/>
      <c r="HJ45" s="256"/>
      <c r="HK45" s="256"/>
      <c r="HL45" s="256"/>
      <c r="HM45" s="256"/>
      <c r="HN45" s="256"/>
      <c r="HO45" s="256"/>
      <c r="HP45" s="256"/>
      <c r="HQ45" s="256"/>
      <c r="HR45" s="256"/>
      <c r="HS45" s="256"/>
      <c r="HT45" s="256"/>
      <c r="HU45" s="256"/>
      <c r="HV45" s="256"/>
      <c r="HW45" s="256"/>
      <c r="HX45" s="256"/>
      <c r="HY45" s="256"/>
      <c r="HZ45" s="256"/>
      <c r="IA45" s="256"/>
      <c r="IB45" s="256"/>
      <c r="IC45" s="256"/>
      <c r="ID45" s="256"/>
      <c r="IE45" s="256"/>
      <c r="IF45" s="256"/>
      <c r="IG45" s="256"/>
      <c r="IH45" s="256"/>
      <c r="II45" s="256"/>
      <c r="IJ45" s="256"/>
      <c r="IK45" s="256"/>
      <c r="IL45" s="256"/>
      <c r="IM45" s="256"/>
      <c r="IN45" s="256"/>
      <c r="IO45" s="256"/>
      <c r="IP45" s="256"/>
      <c r="IQ45" s="256"/>
      <c r="IR45" s="256"/>
      <c r="IS45" s="256"/>
      <c r="IT45" s="256"/>
      <c r="IU45" s="256"/>
      <c r="IV45" s="256"/>
      <c r="IW45" s="256"/>
      <c r="IX45" s="256"/>
      <c r="IY45" s="256"/>
      <c r="IZ45" s="256"/>
      <c r="JA45" s="256"/>
      <c r="JB45" s="256"/>
      <c r="JC45" s="256"/>
      <c r="JD45" s="256"/>
      <c r="JE45" s="256"/>
      <c r="JF45" s="256"/>
      <c r="JG45" s="256"/>
      <c r="JH45" s="256"/>
      <c r="JI45" s="256"/>
      <c r="JJ45" s="256"/>
      <c r="JK45" s="256"/>
      <c r="JL45" s="256"/>
      <c r="JM45" s="256"/>
      <c r="JN45" s="256"/>
      <c r="JO45" s="256"/>
      <c r="JP45" s="256"/>
      <c r="JQ45" s="256"/>
      <c r="JR45" s="256"/>
      <c r="JS45" s="256"/>
      <c r="JT45" s="256"/>
      <c r="JU45" s="256"/>
      <c r="JV45" s="256"/>
      <c r="JW45" s="256"/>
      <c r="JX45" s="256"/>
      <c r="JY45" s="256"/>
      <c r="JZ45" s="256"/>
      <c r="KA45" s="256"/>
      <c r="KB45" s="256"/>
      <c r="KC45" s="256"/>
      <c r="KD45" s="256"/>
      <c r="KE45" s="256"/>
      <c r="KF45" s="256"/>
      <c r="KG45" s="256"/>
      <c r="KH45" s="256"/>
      <c r="KI45" s="256"/>
      <c r="KJ45" s="256"/>
      <c r="KK45" s="256"/>
      <c r="KL45" s="256"/>
      <c r="KM45" s="256"/>
      <c r="KN45" s="256"/>
      <c r="KO45" s="256"/>
      <c r="KP45" s="256"/>
      <c r="KQ45" s="256"/>
      <c r="KR45" s="256"/>
      <c r="KS45" s="256"/>
      <c r="KT45" s="256"/>
      <c r="KU45" s="256"/>
      <c r="KV45" s="256"/>
      <c r="KW45" s="256"/>
      <c r="KX45" s="256"/>
      <c r="KY45" s="256"/>
      <c r="KZ45" s="256"/>
      <c r="LA45" s="256"/>
      <c r="LB45" s="256"/>
      <c r="LC45" s="256"/>
      <c r="LD45" s="256"/>
      <c r="LE45" s="256"/>
      <c r="LF45" s="256"/>
      <c r="LG45" s="256"/>
      <c r="LH45" s="256"/>
      <c r="LI45" s="256"/>
      <c r="LJ45" s="256"/>
      <c r="LK45" s="256"/>
      <c r="LL45" s="256"/>
      <c r="LM45" s="256"/>
      <c r="LN45" s="256"/>
      <c r="LO45" s="256"/>
      <c r="LP45" s="256"/>
      <c r="LQ45" s="256"/>
      <c r="LR45" s="256"/>
      <c r="LS45" s="256"/>
      <c r="LT45" s="256"/>
      <c r="LU45" s="256"/>
      <c r="LV45" s="256"/>
      <c r="LW45" s="256"/>
      <c r="LX45" s="256"/>
      <c r="LY45" s="256"/>
      <c r="LZ45" s="256"/>
      <c r="MA45" s="256"/>
      <c r="MB45" s="256"/>
      <c r="MC45" s="256"/>
      <c r="MD45" s="256"/>
      <c r="ME45" s="256"/>
      <c r="MF45" s="256"/>
      <c r="MG45" s="256"/>
      <c r="MH45" s="256"/>
      <c r="MI45" s="256"/>
      <c r="MJ45" s="256"/>
      <c r="MK45" s="256"/>
      <c r="ML45" s="256"/>
      <c r="MM45" s="256"/>
      <c r="MN45" s="256"/>
      <c r="MO45" s="256"/>
      <c r="MP45" s="256"/>
      <c r="MQ45" s="256"/>
      <c r="MR45" s="256"/>
      <c r="MS45" s="256"/>
      <c r="MT45" s="256"/>
      <c r="MU45" s="256"/>
      <c r="MV45" s="256"/>
      <c r="MW45" s="256"/>
      <c r="MX45" s="256"/>
      <c r="MY45" s="256"/>
      <c r="MZ45" s="256"/>
      <c r="NA45" s="256"/>
      <c r="NB45" s="256"/>
      <c r="NC45" s="256"/>
      <c r="ND45" s="256"/>
      <c r="NE45" s="256"/>
      <c r="NF45" s="256"/>
      <c r="NG45" s="256"/>
      <c r="NH45" s="256"/>
      <c r="NI45" s="256"/>
      <c r="NJ45" s="256"/>
      <c r="NK45" s="256"/>
      <c r="NL45" s="256"/>
      <c r="NM45" s="256"/>
      <c r="NN45" s="256"/>
      <c r="NO45" s="256"/>
      <c r="NP45" s="256"/>
      <c r="NQ45" s="256"/>
      <c r="NR45" s="256"/>
      <c r="NS45" s="256"/>
      <c r="NT45" s="256"/>
      <c r="NU45" s="256"/>
      <c r="NV45" s="256"/>
      <c r="NW45" s="256"/>
      <c r="NX45" s="256"/>
      <c r="NY45" s="256"/>
      <c r="NZ45" s="256"/>
      <c r="OA45" s="256"/>
      <c r="OB45" s="256"/>
      <c r="OC45" s="256"/>
      <c r="OD45" s="256"/>
      <c r="OE45" s="256"/>
      <c r="OF45" s="256"/>
      <c r="OG45" s="256"/>
      <c r="OH45" s="256"/>
      <c r="OI45" s="256"/>
      <c r="OJ45" s="256"/>
      <c r="OK45" s="256"/>
      <c r="OL45" s="256"/>
      <c r="OM45" s="256"/>
      <c r="ON45" s="256"/>
      <c r="OO45" s="256"/>
      <c r="OP45" s="256"/>
      <c r="OQ45" s="256"/>
      <c r="OR45" s="256"/>
      <c r="OS45" s="256"/>
      <c r="OT45" s="256"/>
      <c r="OU45" s="256"/>
      <c r="OV45" s="256"/>
      <c r="OW45" s="256"/>
      <c r="OX45" s="256"/>
      <c r="OY45" s="256"/>
      <c r="OZ45" s="256"/>
      <c r="PA45" s="256"/>
      <c r="PB45" s="256"/>
      <c r="PC45" s="256"/>
      <c r="PD45" s="256"/>
      <c r="PE45" s="256"/>
      <c r="PF45" s="256"/>
      <c r="PG45" s="256"/>
      <c r="PH45" s="256"/>
      <c r="PI45" s="256"/>
      <c r="PJ45" s="256"/>
      <c r="PK45" s="256"/>
      <c r="PL45" s="256"/>
      <c r="PM45" s="256"/>
      <c r="PN45" s="256"/>
      <c r="PO45" s="256"/>
      <c r="PP45" s="256"/>
      <c r="PQ45" s="256"/>
      <c r="PR45" s="256"/>
      <c r="PS45" s="256"/>
      <c r="PT45" s="256"/>
      <c r="PU45" s="256"/>
      <c r="PV45" s="256"/>
      <c r="PW45" s="256"/>
      <c r="PX45" s="256"/>
      <c r="PY45" s="256"/>
      <c r="PZ45" s="256"/>
      <c r="QA45" s="256"/>
      <c r="QB45" s="256"/>
      <c r="QC45" s="256"/>
      <c r="QD45" s="256"/>
      <c r="QE45" s="256"/>
      <c r="QF45" s="256"/>
      <c r="QG45" s="256"/>
      <c r="QH45" s="256"/>
    </row>
    <row r="46" spans="1:450" ht="15.75" thickBot="1" x14ac:dyDescent="0.3">
      <c r="A46" s="257"/>
      <c r="B46" s="262" t="s">
        <v>1100</v>
      </c>
      <c r="C46" s="257"/>
      <c r="D46" s="258">
        <f>SUM(D8:D45)</f>
        <v>63846</v>
      </c>
      <c r="E46" s="259"/>
      <c r="F46" s="258">
        <f>SUM(F8:F45)</f>
        <v>47884.5</v>
      </c>
      <c r="G46" s="260"/>
      <c r="H46" s="258">
        <f>SUM(H8:H45)</f>
        <v>15961.5</v>
      </c>
      <c r="I46" s="261"/>
      <c r="J46" s="170">
        <f>SUM(J8:J45)</f>
        <v>574614</v>
      </c>
      <c r="K46" s="170">
        <f>SUM(K8:K45)</f>
        <v>574614</v>
      </c>
      <c r="L46" s="170">
        <f>SUM(L8:L45)</f>
        <v>574614</v>
      </c>
      <c r="M46" s="290">
        <f>L9+L14+L15+L16+L17+L19+L24+L28+L29+L30+L31+L36+L42+L45</f>
        <v>384642</v>
      </c>
      <c r="N46" s="290"/>
    </row>
    <row r="47" spans="1:450" ht="15.75" thickTop="1" x14ac:dyDescent="0.25"/>
    <row r="48" spans="1:450" x14ac:dyDescent="0.25">
      <c r="B48" s="171" t="s">
        <v>1099</v>
      </c>
    </row>
    <row r="49" spans="1:450" s="77" customFormat="1" x14ac:dyDescent="0.25">
      <c r="A49" s="81" t="s">
        <v>202</v>
      </c>
      <c r="B49" s="81" t="s">
        <v>259</v>
      </c>
      <c r="C49" s="81" t="s">
        <v>221</v>
      </c>
      <c r="D49" s="87">
        <v>2279</v>
      </c>
      <c r="E49" s="85">
        <v>0.75</v>
      </c>
      <c r="F49" s="87">
        <f t="shared" ref="F49:F54" si="6">D49*E49</f>
        <v>1709.25</v>
      </c>
      <c r="G49" s="85">
        <v>0.25</v>
      </c>
      <c r="H49" s="86">
        <f t="shared" ref="H49:H54" si="7">G49*D49</f>
        <v>569.75</v>
      </c>
      <c r="I49" s="82"/>
      <c r="J49" s="170">
        <f t="shared" ref="J49:J54" si="8">F49*12</f>
        <v>20511</v>
      </c>
      <c r="K49" s="171"/>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256"/>
      <c r="BY49" s="256"/>
      <c r="BZ49" s="256"/>
      <c r="CA49" s="256"/>
      <c r="CB49" s="256"/>
      <c r="CC49" s="256"/>
      <c r="CD49" s="256"/>
      <c r="CE49" s="256"/>
      <c r="CF49" s="256"/>
      <c r="CG49" s="256"/>
      <c r="CH49" s="256"/>
      <c r="CI49" s="256"/>
      <c r="CJ49" s="256"/>
      <c r="CK49" s="256"/>
      <c r="CL49" s="256"/>
      <c r="CM49" s="256"/>
      <c r="CN49" s="256"/>
      <c r="CO49" s="256"/>
      <c r="CP49" s="256"/>
      <c r="CQ49" s="256"/>
      <c r="CR49" s="256"/>
      <c r="CS49" s="256"/>
      <c r="CT49" s="256"/>
      <c r="CU49" s="256"/>
      <c r="CV49" s="256"/>
      <c r="CW49" s="256"/>
      <c r="CX49" s="256"/>
      <c r="CY49" s="256"/>
      <c r="CZ49" s="256"/>
      <c r="DA49" s="256"/>
      <c r="DB49" s="256"/>
      <c r="DC49" s="256"/>
      <c r="DD49" s="256"/>
      <c r="DE49" s="256"/>
      <c r="DF49" s="256"/>
      <c r="DG49" s="256"/>
      <c r="DH49" s="256"/>
      <c r="DI49" s="256"/>
      <c r="DJ49" s="256"/>
      <c r="DK49" s="256"/>
      <c r="DL49" s="256"/>
      <c r="DM49" s="256"/>
      <c r="DN49" s="256"/>
      <c r="DO49" s="256"/>
      <c r="DP49" s="256"/>
      <c r="DQ49" s="256"/>
      <c r="DR49" s="256"/>
      <c r="DS49" s="256"/>
      <c r="DT49" s="256"/>
      <c r="DU49" s="256"/>
      <c r="DV49" s="256"/>
      <c r="DW49" s="256"/>
      <c r="DX49" s="256"/>
      <c r="DY49" s="256"/>
      <c r="DZ49" s="256"/>
      <c r="EA49" s="256"/>
      <c r="EB49" s="256"/>
      <c r="EC49" s="256"/>
      <c r="ED49" s="256"/>
      <c r="EE49" s="256"/>
      <c r="EF49" s="256"/>
      <c r="EG49" s="256"/>
      <c r="EH49" s="256"/>
      <c r="EI49" s="256"/>
      <c r="EJ49" s="256"/>
      <c r="EK49" s="256"/>
      <c r="EL49" s="256"/>
      <c r="EM49" s="256"/>
      <c r="EN49" s="256"/>
      <c r="EO49" s="256"/>
      <c r="EP49" s="256"/>
      <c r="EQ49" s="256"/>
      <c r="ER49" s="256"/>
      <c r="ES49" s="256"/>
      <c r="ET49" s="256"/>
      <c r="EU49" s="256"/>
      <c r="EV49" s="256"/>
      <c r="EW49" s="256"/>
      <c r="EX49" s="256"/>
      <c r="EY49" s="256"/>
      <c r="EZ49" s="256"/>
      <c r="FA49" s="256"/>
      <c r="FB49" s="256"/>
      <c r="FC49" s="256"/>
      <c r="FD49" s="256"/>
      <c r="FE49" s="256"/>
      <c r="FF49" s="256"/>
      <c r="FG49" s="256"/>
      <c r="FH49" s="256"/>
      <c r="FI49" s="256"/>
      <c r="FJ49" s="256"/>
      <c r="FK49" s="256"/>
      <c r="FL49" s="256"/>
      <c r="FM49" s="256"/>
      <c r="FN49" s="256"/>
      <c r="FO49" s="256"/>
      <c r="FP49" s="256"/>
      <c r="FQ49" s="256"/>
      <c r="FR49" s="256"/>
      <c r="FS49" s="256"/>
      <c r="FT49" s="256"/>
      <c r="FU49" s="256"/>
      <c r="FV49" s="256"/>
      <c r="FW49" s="256"/>
      <c r="FX49" s="256"/>
      <c r="FY49" s="256"/>
      <c r="FZ49" s="256"/>
      <c r="GA49" s="256"/>
      <c r="GB49" s="256"/>
      <c r="GC49" s="256"/>
      <c r="GD49" s="256"/>
      <c r="GE49" s="256"/>
      <c r="GF49" s="256"/>
      <c r="GG49" s="256"/>
      <c r="GH49" s="256"/>
      <c r="GI49" s="256"/>
      <c r="GJ49" s="256"/>
      <c r="GK49" s="256"/>
      <c r="GL49" s="256"/>
      <c r="GM49" s="256"/>
      <c r="GN49" s="256"/>
      <c r="GO49" s="256"/>
      <c r="GP49" s="256"/>
      <c r="GQ49" s="256"/>
      <c r="GR49" s="256"/>
      <c r="GS49" s="256"/>
      <c r="GT49" s="256"/>
      <c r="GU49" s="256"/>
      <c r="GV49" s="256"/>
      <c r="GW49" s="256"/>
      <c r="GX49" s="256"/>
      <c r="GY49" s="256"/>
      <c r="GZ49" s="256"/>
      <c r="HA49" s="256"/>
      <c r="HB49" s="256"/>
      <c r="HC49" s="256"/>
      <c r="HD49" s="256"/>
      <c r="HE49" s="256"/>
      <c r="HF49" s="256"/>
      <c r="HG49" s="256"/>
      <c r="HH49" s="256"/>
      <c r="HI49" s="256"/>
      <c r="HJ49" s="256"/>
      <c r="HK49" s="256"/>
      <c r="HL49" s="256"/>
      <c r="HM49" s="256"/>
      <c r="HN49" s="256"/>
      <c r="HO49" s="256"/>
      <c r="HP49" s="256"/>
      <c r="HQ49" s="256"/>
      <c r="HR49" s="256"/>
      <c r="HS49" s="256"/>
      <c r="HT49" s="256"/>
      <c r="HU49" s="256"/>
      <c r="HV49" s="256"/>
      <c r="HW49" s="256"/>
      <c r="HX49" s="256"/>
      <c r="HY49" s="256"/>
      <c r="HZ49" s="256"/>
      <c r="IA49" s="256"/>
      <c r="IB49" s="256"/>
      <c r="IC49" s="256"/>
      <c r="ID49" s="256"/>
      <c r="IE49" s="256"/>
      <c r="IF49" s="256"/>
      <c r="IG49" s="256"/>
      <c r="IH49" s="256"/>
      <c r="II49" s="256"/>
      <c r="IJ49" s="256"/>
      <c r="IK49" s="256"/>
      <c r="IL49" s="256"/>
      <c r="IM49" s="256"/>
      <c r="IN49" s="256"/>
      <c r="IO49" s="256"/>
      <c r="IP49" s="256"/>
      <c r="IQ49" s="256"/>
      <c r="IR49" s="256"/>
      <c r="IS49" s="256"/>
      <c r="IT49" s="256"/>
      <c r="IU49" s="256"/>
      <c r="IV49" s="256"/>
      <c r="IW49" s="256"/>
      <c r="IX49" s="256"/>
      <c r="IY49" s="256"/>
      <c r="IZ49" s="256"/>
      <c r="JA49" s="256"/>
      <c r="JB49" s="256"/>
      <c r="JC49" s="256"/>
      <c r="JD49" s="256"/>
      <c r="JE49" s="256"/>
      <c r="JF49" s="256"/>
      <c r="JG49" s="256"/>
      <c r="JH49" s="256"/>
      <c r="JI49" s="256"/>
      <c r="JJ49" s="256"/>
      <c r="JK49" s="256"/>
      <c r="JL49" s="256"/>
      <c r="JM49" s="256"/>
      <c r="JN49" s="256"/>
      <c r="JO49" s="256"/>
      <c r="JP49" s="256"/>
      <c r="JQ49" s="256"/>
      <c r="JR49" s="256"/>
      <c r="JS49" s="256"/>
      <c r="JT49" s="256"/>
      <c r="JU49" s="256"/>
      <c r="JV49" s="256"/>
      <c r="JW49" s="256"/>
      <c r="JX49" s="256"/>
      <c r="JY49" s="256"/>
      <c r="JZ49" s="256"/>
      <c r="KA49" s="256"/>
      <c r="KB49" s="256"/>
      <c r="KC49" s="256"/>
      <c r="KD49" s="256"/>
      <c r="KE49" s="256"/>
      <c r="KF49" s="256"/>
      <c r="KG49" s="256"/>
      <c r="KH49" s="256"/>
      <c r="KI49" s="256"/>
      <c r="KJ49" s="256"/>
      <c r="KK49" s="256"/>
      <c r="KL49" s="256"/>
      <c r="KM49" s="256"/>
      <c r="KN49" s="256"/>
      <c r="KO49" s="256"/>
      <c r="KP49" s="256"/>
      <c r="KQ49" s="256"/>
      <c r="KR49" s="256"/>
      <c r="KS49" s="256"/>
      <c r="KT49" s="256"/>
      <c r="KU49" s="256"/>
      <c r="KV49" s="256"/>
      <c r="KW49" s="256"/>
      <c r="KX49" s="256"/>
      <c r="KY49" s="256"/>
      <c r="KZ49" s="256"/>
      <c r="LA49" s="256"/>
      <c r="LB49" s="256"/>
      <c r="LC49" s="256"/>
      <c r="LD49" s="256"/>
      <c r="LE49" s="256"/>
      <c r="LF49" s="256"/>
      <c r="LG49" s="256"/>
      <c r="LH49" s="256"/>
      <c r="LI49" s="256"/>
      <c r="LJ49" s="256"/>
      <c r="LK49" s="256"/>
      <c r="LL49" s="256"/>
      <c r="LM49" s="256"/>
      <c r="LN49" s="256"/>
      <c r="LO49" s="256"/>
      <c r="LP49" s="256"/>
      <c r="LQ49" s="256"/>
      <c r="LR49" s="256"/>
      <c r="LS49" s="256"/>
      <c r="LT49" s="256"/>
      <c r="LU49" s="256"/>
      <c r="LV49" s="256"/>
      <c r="LW49" s="256"/>
      <c r="LX49" s="256"/>
      <c r="LY49" s="256"/>
      <c r="LZ49" s="256"/>
      <c r="MA49" s="256"/>
      <c r="MB49" s="256"/>
      <c r="MC49" s="256"/>
      <c r="MD49" s="256"/>
      <c r="ME49" s="256"/>
      <c r="MF49" s="256"/>
      <c r="MG49" s="256"/>
      <c r="MH49" s="256"/>
      <c r="MI49" s="256"/>
      <c r="MJ49" s="256"/>
      <c r="MK49" s="256"/>
      <c r="ML49" s="256"/>
      <c r="MM49" s="256"/>
      <c r="MN49" s="256"/>
      <c r="MO49" s="256"/>
      <c r="MP49" s="256"/>
      <c r="MQ49" s="256"/>
      <c r="MR49" s="256"/>
      <c r="MS49" s="256"/>
      <c r="MT49" s="256"/>
      <c r="MU49" s="256"/>
      <c r="MV49" s="256"/>
      <c r="MW49" s="256"/>
      <c r="MX49" s="256"/>
      <c r="MY49" s="256"/>
      <c r="MZ49" s="256"/>
      <c r="NA49" s="256"/>
      <c r="NB49" s="256"/>
      <c r="NC49" s="256"/>
      <c r="ND49" s="256"/>
      <c r="NE49" s="256"/>
      <c r="NF49" s="256"/>
      <c r="NG49" s="256"/>
      <c r="NH49" s="256"/>
      <c r="NI49" s="256"/>
      <c r="NJ49" s="256"/>
      <c r="NK49" s="256"/>
      <c r="NL49" s="256"/>
      <c r="NM49" s="256"/>
      <c r="NN49" s="256"/>
      <c r="NO49" s="256"/>
      <c r="NP49" s="256"/>
      <c r="NQ49" s="256"/>
      <c r="NR49" s="256"/>
      <c r="NS49" s="256"/>
      <c r="NT49" s="256"/>
      <c r="NU49" s="256"/>
      <c r="NV49" s="256"/>
      <c r="NW49" s="256"/>
      <c r="NX49" s="256"/>
      <c r="NY49" s="256"/>
      <c r="NZ49" s="256"/>
      <c r="OA49" s="256"/>
      <c r="OB49" s="256"/>
      <c r="OC49" s="256"/>
      <c r="OD49" s="256"/>
      <c r="OE49" s="256"/>
      <c r="OF49" s="256"/>
      <c r="OG49" s="256"/>
      <c r="OH49" s="256"/>
      <c r="OI49" s="256"/>
      <c r="OJ49" s="256"/>
      <c r="OK49" s="256"/>
      <c r="OL49" s="256"/>
      <c r="OM49" s="256"/>
      <c r="ON49" s="256"/>
      <c r="OO49" s="256"/>
      <c r="OP49" s="256"/>
      <c r="OQ49" s="256"/>
      <c r="OR49" s="256"/>
      <c r="OS49" s="256"/>
      <c r="OT49" s="256"/>
      <c r="OU49" s="256"/>
      <c r="OV49" s="256"/>
      <c r="OW49" s="256"/>
      <c r="OX49" s="256"/>
      <c r="OY49" s="256"/>
      <c r="OZ49" s="256"/>
      <c r="PA49" s="256"/>
      <c r="PB49" s="256"/>
      <c r="PC49" s="256"/>
      <c r="PD49" s="256"/>
      <c r="PE49" s="256"/>
      <c r="PF49" s="256"/>
      <c r="PG49" s="256"/>
      <c r="PH49" s="256"/>
      <c r="PI49" s="256"/>
      <c r="PJ49" s="256"/>
      <c r="PK49" s="256"/>
      <c r="PL49" s="256"/>
      <c r="PM49" s="256"/>
      <c r="PN49" s="256"/>
      <c r="PO49" s="256"/>
      <c r="PP49" s="256"/>
      <c r="PQ49" s="256"/>
      <c r="PR49" s="256"/>
      <c r="PS49" s="256"/>
      <c r="PT49" s="256"/>
      <c r="PU49" s="256"/>
      <c r="PV49" s="256"/>
      <c r="PW49" s="256"/>
      <c r="PX49" s="256"/>
      <c r="PY49" s="256"/>
      <c r="PZ49" s="256"/>
      <c r="QA49" s="256"/>
      <c r="QB49" s="256"/>
      <c r="QC49" s="256"/>
      <c r="QD49" s="256"/>
      <c r="QE49" s="256"/>
      <c r="QF49" s="256"/>
      <c r="QG49" s="256"/>
      <c r="QH49" s="256"/>
    </row>
    <row r="50" spans="1:450" x14ac:dyDescent="0.25">
      <c r="A50" s="81" t="s">
        <v>202</v>
      </c>
      <c r="B50" s="81" t="s">
        <v>260</v>
      </c>
      <c r="C50" s="81" t="s">
        <v>221</v>
      </c>
      <c r="D50" s="87">
        <v>2249</v>
      </c>
      <c r="E50" s="85">
        <v>0.75</v>
      </c>
      <c r="F50" s="87">
        <f t="shared" si="6"/>
        <v>1686.75</v>
      </c>
      <c r="G50" s="85">
        <v>0.25</v>
      </c>
      <c r="H50" s="86">
        <f t="shared" si="7"/>
        <v>562.25</v>
      </c>
      <c r="I50" s="82"/>
      <c r="J50" s="170">
        <f t="shared" si="8"/>
        <v>20241</v>
      </c>
      <c r="K50" s="172"/>
    </row>
    <row r="51" spans="1:450" s="77" customFormat="1" x14ac:dyDescent="0.25">
      <c r="A51" s="88" t="s">
        <v>179</v>
      </c>
      <c r="B51" s="88" t="s">
        <v>1167</v>
      </c>
      <c r="C51" s="88" t="s">
        <v>221</v>
      </c>
      <c r="D51" s="87">
        <v>2808</v>
      </c>
      <c r="E51" s="100">
        <v>0.75</v>
      </c>
      <c r="F51" s="87">
        <f t="shared" si="6"/>
        <v>2106</v>
      </c>
      <c r="G51" s="100">
        <v>0.25</v>
      </c>
      <c r="H51" s="87">
        <f t="shared" si="7"/>
        <v>702</v>
      </c>
      <c r="I51" s="82"/>
      <c r="J51" s="170">
        <f t="shared" si="8"/>
        <v>25272</v>
      </c>
      <c r="K51" s="171"/>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256"/>
      <c r="BY51" s="256"/>
      <c r="BZ51" s="256"/>
      <c r="CA51" s="256"/>
      <c r="CB51" s="256"/>
      <c r="CC51" s="256"/>
      <c r="CD51" s="256"/>
      <c r="CE51" s="256"/>
      <c r="CF51" s="256"/>
      <c r="CG51" s="256"/>
      <c r="CH51" s="256"/>
      <c r="CI51" s="256"/>
      <c r="CJ51" s="256"/>
      <c r="CK51" s="256"/>
      <c r="CL51" s="256"/>
      <c r="CM51" s="256"/>
      <c r="CN51" s="256"/>
      <c r="CO51" s="256"/>
      <c r="CP51" s="256"/>
      <c r="CQ51" s="256"/>
      <c r="CR51" s="256"/>
      <c r="CS51" s="256"/>
      <c r="CT51" s="256"/>
      <c r="CU51" s="256"/>
      <c r="CV51" s="256"/>
      <c r="CW51" s="256"/>
      <c r="CX51" s="256"/>
      <c r="CY51" s="256"/>
      <c r="CZ51" s="256"/>
      <c r="DA51" s="256"/>
      <c r="DB51" s="256"/>
      <c r="DC51" s="256"/>
      <c r="DD51" s="256"/>
      <c r="DE51" s="256"/>
      <c r="DF51" s="256"/>
      <c r="DG51" s="256"/>
      <c r="DH51" s="256"/>
      <c r="DI51" s="256"/>
      <c r="DJ51" s="256"/>
      <c r="DK51" s="256"/>
      <c r="DL51" s="256"/>
      <c r="DM51" s="256"/>
      <c r="DN51" s="256"/>
      <c r="DO51" s="256"/>
      <c r="DP51" s="256"/>
      <c r="DQ51" s="256"/>
      <c r="DR51" s="256"/>
      <c r="DS51" s="256"/>
      <c r="DT51" s="256"/>
      <c r="DU51" s="256"/>
      <c r="DV51" s="256"/>
      <c r="DW51" s="256"/>
      <c r="DX51" s="256"/>
      <c r="DY51" s="256"/>
      <c r="DZ51" s="256"/>
      <c r="EA51" s="256"/>
      <c r="EB51" s="256"/>
      <c r="EC51" s="256"/>
      <c r="ED51" s="256"/>
      <c r="EE51" s="256"/>
      <c r="EF51" s="256"/>
      <c r="EG51" s="256"/>
      <c r="EH51" s="256"/>
      <c r="EI51" s="256"/>
      <c r="EJ51" s="256"/>
      <c r="EK51" s="256"/>
      <c r="EL51" s="256"/>
      <c r="EM51" s="256"/>
      <c r="EN51" s="256"/>
      <c r="EO51" s="256"/>
      <c r="EP51" s="256"/>
      <c r="EQ51" s="256"/>
      <c r="ER51" s="256"/>
      <c r="ES51" s="256"/>
      <c r="ET51" s="256"/>
      <c r="EU51" s="256"/>
      <c r="EV51" s="256"/>
      <c r="EW51" s="256"/>
      <c r="EX51" s="256"/>
      <c r="EY51" s="256"/>
      <c r="EZ51" s="256"/>
      <c r="FA51" s="256"/>
      <c r="FB51" s="256"/>
      <c r="FC51" s="256"/>
      <c r="FD51" s="256"/>
      <c r="FE51" s="256"/>
      <c r="FF51" s="256"/>
      <c r="FG51" s="256"/>
      <c r="FH51" s="256"/>
      <c r="FI51" s="256"/>
      <c r="FJ51" s="256"/>
      <c r="FK51" s="256"/>
      <c r="FL51" s="256"/>
      <c r="FM51" s="256"/>
      <c r="FN51" s="256"/>
      <c r="FO51" s="256"/>
      <c r="FP51" s="256"/>
      <c r="FQ51" s="256"/>
      <c r="FR51" s="256"/>
      <c r="FS51" s="256"/>
      <c r="FT51" s="256"/>
      <c r="FU51" s="256"/>
      <c r="FV51" s="256"/>
      <c r="FW51" s="256"/>
      <c r="FX51" s="256"/>
      <c r="FY51" s="256"/>
      <c r="FZ51" s="256"/>
      <c r="GA51" s="256"/>
      <c r="GB51" s="256"/>
      <c r="GC51" s="256"/>
      <c r="GD51" s="256"/>
      <c r="GE51" s="256"/>
      <c r="GF51" s="256"/>
      <c r="GG51" s="256"/>
      <c r="GH51" s="256"/>
      <c r="GI51" s="256"/>
      <c r="GJ51" s="256"/>
      <c r="GK51" s="256"/>
      <c r="GL51" s="256"/>
      <c r="GM51" s="256"/>
      <c r="GN51" s="256"/>
      <c r="GO51" s="256"/>
      <c r="GP51" s="256"/>
      <c r="GQ51" s="256"/>
      <c r="GR51" s="256"/>
      <c r="GS51" s="256"/>
      <c r="GT51" s="256"/>
      <c r="GU51" s="256"/>
      <c r="GV51" s="256"/>
      <c r="GW51" s="256"/>
      <c r="GX51" s="256"/>
      <c r="GY51" s="256"/>
      <c r="GZ51" s="256"/>
      <c r="HA51" s="256"/>
      <c r="HB51" s="256"/>
      <c r="HC51" s="256"/>
      <c r="HD51" s="256"/>
      <c r="HE51" s="256"/>
      <c r="HF51" s="256"/>
      <c r="HG51" s="256"/>
      <c r="HH51" s="256"/>
      <c r="HI51" s="256"/>
      <c r="HJ51" s="256"/>
      <c r="HK51" s="256"/>
      <c r="HL51" s="256"/>
      <c r="HM51" s="256"/>
      <c r="HN51" s="256"/>
      <c r="HO51" s="256"/>
      <c r="HP51" s="256"/>
      <c r="HQ51" s="256"/>
      <c r="HR51" s="256"/>
      <c r="HS51" s="256"/>
      <c r="HT51" s="256"/>
      <c r="HU51" s="256"/>
      <c r="HV51" s="256"/>
      <c r="HW51" s="256"/>
      <c r="HX51" s="256"/>
      <c r="HY51" s="256"/>
      <c r="HZ51" s="256"/>
      <c r="IA51" s="256"/>
      <c r="IB51" s="256"/>
      <c r="IC51" s="256"/>
      <c r="ID51" s="256"/>
      <c r="IE51" s="256"/>
      <c r="IF51" s="256"/>
      <c r="IG51" s="256"/>
      <c r="IH51" s="256"/>
      <c r="II51" s="256"/>
      <c r="IJ51" s="256"/>
      <c r="IK51" s="256"/>
      <c r="IL51" s="256"/>
      <c r="IM51" s="256"/>
      <c r="IN51" s="256"/>
      <c r="IO51" s="256"/>
      <c r="IP51" s="256"/>
      <c r="IQ51" s="256"/>
      <c r="IR51" s="256"/>
      <c r="IS51" s="256"/>
      <c r="IT51" s="256"/>
      <c r="IU51" s="256"/>
      <c r="IV51" s="256"/>
      <c r="IW51" s="256"/>
      <c r="IX51" s="256"/>
      <c r="IY51" s="256"/>
      <c r="IZ51" s="256"/>
      <c r="JA51" s="256"/>
      <c r="JB51" s="256"/>
      <c r="JC51" s="256"/>
      <c r="JD51" s="256"/>
      <c r="JE51" s="256"/>
      <c r="JF51" s="256"/>
      <c r="JG51" s="256"/>
      <c r="JH51" s="256"/>
      <c r="JI51" s="256"/>
      <c r="JJ51" s="256"/>
      <c r="JK51" s="256"/>
      <c r="JL51" s="256"/>
      <c r="JM51" s="256"/>
      <c r="JN51" s="256"/>
      <c r="JO51" s="256"/>
      <c r="JP51" s="256"/>
      <c r="JQ51" s="256"/>
      <c r="JR51" s="256"/>
      <c r="JS51" s="256"/>
      <c r="JT51" s="256"/>
      <c r="JU51" s="256"/>
      <c r="JV51" s="256"/>
      <c r="JW51" s="256"/>
      <c r="JX51" s="256"/>
      <c r="JY51" s="256"/>
      <c r="JZ51" s="256"/>
      <c r="KA51" s="256"/>
      <c r="KB51" s="256"/>
      <c r="KC51" s="256"/>
      <c r="KD51" s="256"/>
      <c r="KE51" s="256"/>
      <c r="KF51" s="256"/>
      <c r="KG51" s="256"/>
      <c r="KH51" s="256"/>
      <c r="KI51" s="256"/>
      <c r="KJ51" s="256"/>
      <c r="KK51" s="256"/>
      <c r="KL51" s="256"/>
      <c r="KM51" s="256"/>
      <c r="KN51" s="256"/>
      <c r="KO51" s="256"/>
      <c r="KP51" s="256"/>
      <c r="KQ51" s="256"/>
      <c r="KR51" s="256"/>
      <c r="KS51" s="256"/>
      <c r="KT51" s="256"/>
      <c r="KU51" s="256"/>
      <c r="KV51" s="256"/>
      <c r="KW51" s="256"/>
      <c r="KX51" s="256"/>
      <c r="KY51" s="256"/>
      <c r="KZ51" s="256"/>
      <c r="LA51" s="256"/>
      <c r="LB51" s="256"/>
      <c r="LC51" s="256"/>
      <c r="LD51" s="256"/>
      <c r="LE51" s="256"/>
      <c r="LF51" s="256"/>
      <c r="LG51" s="256"/>
      <c r="LH51" s="256"/>
      <c r="LI51" s="256"/>
      <c r="LJ51" s="256"/>
      <c r="LK51" s="256"/>
      <c r="LL51" s="256"/>
      <c r="LM51" s="256"/>
      <c r="LN51" s="256"/>
      <c r="LO51" s="256"/>
      <c r="LP51" s="256"/>
      <c r="LQ51" s="256"/>
      <c r="LR51" s="256"/>
      <c r="LS51" s="256"/>
      <c r="LT51" s="256"/>
      <c r="LU51" s="256"/>
      <c r="LV51" s="256"/>
      <c r="LW51" s="256"/>
      <c r="LX51" s="256"/>
      <c r="LY51" s="256"/>
      <c r="LZ51" s="256"/>
      <c r="MA51" s="256"/>
      <c r="MB51" s="256"/>
      <c r="MC51" s="256"/>
      <c r="MD51" s="256"/>
      <c r="ME51" s="256"/>
      <c r="MF51" s="256"/>
      <c r="MG51" s="256"/>
      <c r="MH51" s="256"/>
      <c r="MI51" s="256"/>
      <c r="MJ51" s="256"/>
      <c r="MK51" s="256"/>
      <c r="ML51" s="256"/>
      <c r="MM51" s="256"/>
      <c r="MN51" s="256"/>
      <c r="MO51" s="256"/>
      <c r="MP51" s="256"/>
      <c r="MQ51" s="256"/>
      <c r="MR51" s="256"/>
      <c r="MS51" s="256"/>
      <c r="MT51" s="256"/>
      <c r="MU51" s="256"/>
      <c r="MV51" s="256"/>
      <c r="MW51" s="256"/>
      <c r="MX51" s="256"/>
      <c r="MY51" s="256"/>
      <c r="MZ51" s="256"/>
      <c r="NA51" s="256"/>
      <c r="NB51" s="256"/>
      <c r="NC51" s="256"/>
      <c r="ND51" s="256"/>
      <c r="NE51" s="256"/>
      <c r="NF51" s="256"/>
      <c r="NG51" s="256"/>
      <c r="NH51" s="256"/>
      <c r="NI51" s="256"/>
      <c r="NJ51" s="256"/>
      <c r="NK51" s="256"/>
      <c r="NL51" s="256"/>
      <c r="NM51" s="256"/>
      <c r="NN51" s="256"/>
      <c r="NO51" s="256"/>
      <c r="NP51" s="256"/>
      <c r="NQ51" s="256"/>
      <c r="NR51" s="256"/>
      <c r="NS51" s="256"/>
      <c r="NT51" s="256"/>
      <c r="NU51" s="256"/>
      <c r="NV51" s="256"/>
      <c r="NW51" s="256"/>
      <c r="NX51" s="256"/>
      <c r="NY51" s="256"/>
      <c r="NZ51" s="256"/>
      <c r="OA51" s="256"/>
      <c r="OB51" s="256"/>
      <c r="OC51" s="256"/>
      <c r="OD51" s="256"/>
      <c r="OE51" s="256"/>
      <c r="OF51" s="256"/>
      <c r="OG51" s="256"/>
      <c r="OH51" s="256"/>
      <c r="OI51" s="256"/>
      <c r="OJ51" s="256"/>
      <c r="OK51" s="256"/>
      <c r="OL51" s="256"/>
      <c r="OM51" s="256"/>
      <c r="ON51" s="256"/>
      <c r="OO51" s="256"/>
      <c r="OP51" s="256"/>
      <c r="OQ51" s="256"/>
      <c r="OR51" s="256"/>
      <c r="OS51" s="256"/>
      <c r="OT51" s="256"/>
      <c r="OU51" s="256"/>
      <c r="OV51" s="256"/>
      <c r="OW51" s="256"/>
      <c r="OX51" s="256"/>
      <c r="OY51" s="256"/>
      <c r="OZ51" s="256"/>
      <c r="PA51" s="256"/>
      <c r="PB51" s="256"/>
      <c r="PC51" s="256"/>
      <c r="PD51" s="256"/>
      <c r="PE51" s="256"/>
      <c r="PF51" s="256"/>
      <c r="PG51" s="256"/>
      <c r="PH51" s="256"/>
      <c r="PI51" s="256"/>
      <c r="PJ51" s="256"/>
      <c r="PK51" s="256"/>
      <c r="PL51" s="256"/>
      <c r="PM51" s="256"/>
      <c r="PN51" s="256"/>
      <c r="PO51" s="256"/>
      <c r="PP51" s="256"/>
      <c r="PQ51" s="256"/>
      <c r="PR51" s="256"/>
      <c r="PS51" s="256"/>
      <c r="PT51" s="256"/>
      <c r="PU51" s="256"/>
      <c r="PV51" s="256"/>
      <c r="PW51" s="256"/>
      <c r="PX51" s="256"/>
      <c r="PY51" s="256"/>
      <c r="PZ51" s="256"/>
      <c r="QA51" s="256"/>
      <c r="QB51" s="256"/>
      <c r="QC51" s="256"/>
      <c r="QD51" s="256"/>
      <c r="QE51" s="256"/>
      <c r="QF51" s="256"/>
      <c r="QG51" s="256"/>
      <c r="QH51" s="256"/>
    </row>
    <row r="52" spans="1:450" s="77" customFormat="1" x14ac:dyDescent="0.25">
      <c r="A52" s="81" t="s">
        <v>202</v>
      </c>
      <c r="B52" s="88" t="s">
        <v>1309</v>
      </c>
      <c r="C52" s="88" t="s">
        <v>221</v>
      </c>
      <c r="D52" s="87">
        <v>1121</v>
      </c>
      <c r="E52" s="100">
        <v>0.75</v>
      </c>
      <c r="F52" s="87">
        <f t="shared" si="6"/>
        <v>840.75</v>
      </c>
      <c r="G52" s="100">
        <v>0.25</v>
      </c>
      <c r="H52" s="87">
        <f t="shared" si="7"/>
        <v>280.25</v>
      </c>
      <c r="I52" s="82"/>
      <c r="J52" s="170">
        <f t="shared" si="8"/>
        <v>10089</v>
      </c>
      <c r="K52" s="171"/>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6"/>
      <c r="CB52" s="256"/>
      <c r="CC52" s="256"/>
      <c r="CD52" s="256"/>
      <c r="CE52" s="256"/>
      <c r="CF52" s="256"/>
      <c r="CG52" s="256"/>
      <c r="CH52" s="256"/>
      <c r="CI52" s="256"/>
      <c r="CJ52" s="256"/>
      <c r="CK52" s="256"/>
      <c r="CL52" s="256"/>
      <c r="CM52" s="256"/>
      <c r="CN52" s="256"/>
      <c r="CO52" s="256"/>
      <c r="CP52" s="256"/>
      <c r="CQ52" s="256"/>
      <c r="CR52" s="256"/>
      <c r="CS52" s="256"/>
      <c r="CT52" s="256"/>
      <c r="CU52" s="256"/>
      <c r="CV52" s="256"/>
      <c r="CW52" s="256"/>
      <c r="CX52" s="256"/>
      <c r="CY52" s="256"/>
      <c r="CZ52" s="256"/>
      <c r="DA52" s="256"/>
      <c r="DB52" s="256"/>
      <c r="DC52" s="256"/>
      <c r="DD52" s="256"/>
      <c r="DE52" s="256"/>
      <c r="DF52" s="256"/>
      <c r="DG52" s="256"/>
      <c r="DH52" s="256"/>
      <c r="DI52" s="256"/>
      <c r="DJ52" s="256"/>
      <c r="DK52" s="256"/>
      <c r="DL52" s="256"/>
      <c r="DM52" s="256"/>
      <c r="DN52" s="256"/>
      <c r="DO52" s="256"/>
      <c r="DP52" s="256"/>
      <c r="DQ52" s="256"/>
      <c r="DR52" s="256"/>
      <c r="DS52" s="256"/>
      <c r="DT52" s="256"/>
      <c r="DU52" s="256"/>
      <c r="DV52" s="256"/>
      <c r="DW52" s="256"/>
      <c r="DX52" s="256"/>
      <c r="DY52" s="256"/>
      <c r="DZ52" s="256"/>
      <c r="EA52" s="256"/>
      <c r="EB52" s="256"/>
      <c r="EC52" s="256"/>
      <c r="ED52" s="256"/>
      <c r="EE52" s="256"/>
      <c r="EF52" s="256"/>
      <c r="EG52" s="256"/>
      <c r="EH52" s="256"/>
      <c r="EI52" s="256"/>
      <c r="EJ52" s="256"/>
      <c r="EK52" s="256"/>
      <c r="EL52" s="256"/>
      <c r="EM52" s="256"/>
      <c r="EN52" s="256"/>
      <c r="EO52" s="256"/>
      <c r="EP52" s="256"/>
      <c r="EQ52" s="256"/>
      <c r="ER52" s="256"/>
      <c r="ES52" s="256"/>
      <c r="ET52" s="256"/>
      <c r="EU52" s="256"/>
      <c r="EV52" s="256"/>
      <c r="EW52" s="256"/>
      <c r="EX52" s="256"/>
      <c r="EY52" s="256"/>
      <c r="EZ52" s="256"/>
      <c r="FA52" s="256"/>
      <c r="FB52" s="256"/>
      <c r="FC52" s="256"/>
      <c r="FD52" s="256"/>
      <c r="FE52" s="256"/>
      <c r="FF52" s="256"/>
      <c r="FG52" s="256"/>
      <c r="FH52" s="256"/>
      <c r="FI52" s="256"/>
      <c r="FJ52" s="256"/>
      <c r="FK52" s="256"/>
      <c r="FL52" s="256"/>
      <c r="FM52" s="256"/>
      <c r="FN52" s="256"/>
      <c r="FO52" s="256"/>
      <c r="FP52" s="256"/>
      <c r="FQ52" s="256"/>
      <c r="FR52" s="256"/>
      <c r="FS52" s="256"/>
      <c r="FT52" s="256"/>
      <c r="FU52" s="256"/>
      <c r="FV52" s="256"/>
      <c r="FW52" s="256"/>
      <c r="FX52" s="256"/>
      <c r="FY52" s="256"/>
      <c r="FZ52" s="256"/>
      <c r="GA52" s="256"/>
      <c r="GB52" s="256"/>
      <c r="GC52" s="256"/>
      <c r="GD52" s="256"/>
      <c r="GE52" s="256"/>
      <c r="GF52" s="256"/>
      <c r="GG52" s="256"/>
      <c r="GH52" s="256"/>
      <c r="GI52" s="256"/>
      <c r="GJ52" s="256"/>
      <c r="GK52" s="256"/>
      <c r="GL52" s="256"/>
      <c r="GM52" s="256"/>
      <c r="GN52" s="256"/>
      <c r="GO52" s="256"/>
      <c r="GP52" s="256"/>
      <c r="GQ52" s="256"/>
      <c r="GR52" s="256"/>
      <c r="GS52" s="256"/>
      <c r="GT52" s="256"/>
      <c r="GU52" s="256"/>
      <c r="GV52" s="256"/>
      <c r="GW52" s="256"/>
      <c r="GX52" s="256"/>
      <c r="GY52" s="256"/>
      <c r="GZ52" s="256"/>
      <c r="HA52" s="256"/>
      <c r="HB52" s="256"/>
      <c r="HC52" s="256"/>
      <c r="HD52" s="256"/>
      <c r="HE52" s="256"/>
      <c r="HF52" s="256"/>
      <c r="HG52" s="256"/>
      <c r="HH52" s="256"/>
      <c r="HI52" s="256"/>
      <c r="HJ52" s="256"/>
      <c r="HK52" s="256"/>
      <c r="HL52" s="256"/>
      <c r="HM52" s="256"/>
      <c r="HN52" s="256"/>
      <c r="HO52" s="256"/>
      <c r="HP52" s="256"/>
      <c r="HQ52" s="256"/>
      <c r="HR52" s="256"/>
      <c r="HS52" s="256"/>
      <c r="HT52" s="256"/>
      <c r="HU52" s="256"/>
      <c r="HV52" s="256"/>
      <c r="HW52" s="256"/>
      <c r="HX52" s="256"/>
      <c r="HY52" s="256"/>
      <c r="HZ52" s="256"/>
      <c r="IA52" s="256"/>
      <c r="IB52" s="256"/>
      <c r="IC52" s="256"/>
      <c r="ID52" s="256"/>
      <c r="IE52" s="256"/>
      <c r="IF52" s="256"/>
      <c r="IG52" s="256"/>
      <c r="IH52" s="256"/>
      <c r="II52" s="256"/>
      <c r="IJ52" s="256"/>
      <c r="IK52" s="256"/>
      <c r="IL52" s="256"/>
      <c r="IM52" s="256"/>
      <c r="IN52" s="256"/>
      <c r="IO52" s="256"/>
      <c r="IP52" s="256"/>
      <c r="IQ52" s="256"/>
      <c r="IR52" s="256"/>
      <c r="IS52" s="256"/>
      <c r="IT52" s="256"/>
      <c r="IU52" s="256"/>
      <c r="IV52" s="256"/>
      <c r="IW52" s="256"/>
      <c r="IX52" s="256"/>
      <c r="IY52" s="256"/>
      <c r="IZ52" s="256"/>
      <c r="JA52" s="256"/>
      <c r="JB52" s="256"/>
      <c r="JC52" s="256"/>
      <c r="JD52" s="256"/>
      <c r="JE52" s="256"/>
      <c r="JF52" s="256"/>
      <c r="JG52" s="256"/>
      <c r="JH52" s="256"/>
      <c r="JI52" s="256"/>
      <c r="JJ52" s="256"/>
      <c r="JK52" s="256"/>
      <c r="JL52" s="256"/>
      <c r="JM52" s="256"/>
      <c r="JN52" s="256"/>
      <c r="JO52" s="256"/>
      <c r="JP52" s="256"/>
      <c r="JQ52" s="256"/>
      <c r="JR52" s="256"/>
      <c r="JS52" s="256"/>
      <c r="JT52" s="256"/>
      <c r="JU52" s="256"/>
      <c r="JV52" s="256"/>
      <c r="JW52" s="256"/>
      <c r="JX52" s="256"/>
      <c r="JY52" s="256"/>
      <c r="JZ52" s="256"/>
      <c r="KA52" s="256"/>
      <c r="KB52" s="256"/>
      <c r="KC52" s="256"/>
      <c r="KD52" s="256"/>
      <c r="KE52" s="256"/>
      <c r="KF52" s="256"/>
      <c r="KG52" s="256"/>
      <c r="KH52" s="256"/>
      <c r="KI52" s="256"/>
      <c r="KJ52" s="256"/>
      <c r="KK52" s="256"/>
      <c r="KL52" s="256"/>
      <c r="KM52" s="256"/>
      <c r="KN52" s="256"/>
      <c r="KO52" s="256"/>
      <c r="KP52" s="256"/>
      <c r="KQ52" s="256"/>
      <c r="KR52" s="256"/>
      <c r="KS52" s="256"/>
      <c r="KT52" s="256"/>
      <c r="KU52" s="256"/>
      <c r="KV52" s="256"/>
      <c r="KW52" s="256"/>
      <c r="KX52" s="256"/>
      <c r="KY52" s="256"/>
      <c r="KZ52" s="256"/>
      <c r="LA52" s="256"/>
      <c r="LB52" s="256"/>
      <c r="LC52" s="256"/>
      <c r="LD52" s="256"/>
      <c r="LE52" s="256"/>
      <c r="LF52" s="256"/>
      <c r="LG52" s="256"/>
      <c r="LH52" s="256"/>
      <c r="LI52" s="256"/>
      <c r="LJ52" s="256"/>
      <c r="LK52" s="256"/>
      <c r="LL52" s="256"/>
      <c r="LM52" s="256"/>
      <c r="LN52" s="256"/>
      <c r="LO52" s="256"/>
      <c r="LP52" s="256"/>
      <c r="LQ52" s="256"/>
      <c r="LR52" s="256"/>
      <c r="LS52" s="256"/>
      <c r="LT52" s="256"/>
      <c r="LU52" s="256"/>
      <c r="LV52" s="256"/>
      <c r="LW52" s="256"/>
      <c r="LX52" s="256"/>
      <c r="LY52" s="256"/>
      <c r="LZ52" s="256"/>
      <c r="MA52" s="256"/>
      <c r="MB52" s="256"/>
      <c r="MC52" s="256"/>
      <c r="MD52" s="256"/>
      <c r="ME52" s="256"/>
      <c r="MF52" s="256"/>
      <c r="MG52" s="256"/>
      <c r="MH52" s="256"/>
      <c r="MI52" s="256"/>
      <c r="MJ52" s="256"/>
      <c r="MK52" s="256"/>
      <c r="ML52" s="256"/>
      <c r="MM52" s="256"/>
      <c r="MN52" s="256"/>
      <c r="MO52" s="256"/>
      <c r="MP52" s="256"/>
      <c r="MQ52" s="256"/>
      <c r="MR52" s="256"/>
      <c r="MS52" s="256"/>
      <c r="MT52" s="256"/>
      <c r="MU52" s="256"/>
      <c r="MV52" s="256"/>
      <c r="MW52" s="256"/>
      <c r="MX52" s="256"/>
      <c r="MY52" s="256"/>
      <c r="MZ52" s="256"/>
      <c r="NA52" s="256"/>
      <c r="NB52" s="256"/>
      <c r="NC52" s="256"/>
      <c r="ND52" s="256"/>
      <c r="NE52" s="256"/>
      <c r="NF52" s="256"/>
      <c r="NG52" s="256"/>
      <c r="NH52" s="256"/>
      <c r="NI52" s="256"/>
      <c r="NJ52" s="256"/>
      <c r="NK52" s="256"/>
      <c r="NL52" s="256"/>
      <c r="NM52" s="256"/>
      <c r="NN52" s="256"/>
      <c r="NO52" s="256"/>
      <c r="NP52" s="256"/>
      <c r="NQ52" s="256"/>
      <c r="NR52" s="256"/>
      <c r="NS52" s="256"/>
      <c r="NT52" s="256"/>
      <c r="NU52" s="256"/>
      <c r="NV52" s="256"/>
      <c r="NW52" s="256"/>
      <c r="NX52" s="256"/>
      <c r="NY52" s="256"/>
      <c r="NZ52" s="256"/>
      <c r="OA52" s="256"/>
      <c r="OB52" s="256"/>
      <c r="OC52" s="256"/>
      <c r="OD52" s="256"/>
      <c r="OE52" s="256"/>
      <c r="OF52" s="256"/>
      <c r="OG52" s="256"/>
      <c r="OH52" s="256"/>
      <c r="OI52" s="256"/>
      <c r="OJ52" s="256"/>
      <c r="OK52" s="256"/>
      <c r="OL52" s="256"/>
      <c r="OM52" s="256"/>
      <c r="ON52" s="256"/>
      <c r="OO52" s="256"/>
      <c r="OP52" s="256"/>
      <c r="OQ52" s="256"/>
      <c r="OR52" s="256"/>
      <c r="OS52" s="256"/>
      <c r="OT52" s="256"/>
      <c r="OU52" s="256"/>
      <c r="OV52" s="256"/>
      <c r="OW52" s="256"/>
      <c r="OX52" s="256"/>
      <c r="OY52" s="256"/>
      <c r="OZ52" s="256"/>
      <c r="PA52" s="256"/>
      <c r="PB52" s="256"/>
      <c r="PC52" s="256"/>
      <c r="PD52" s="256"/>
      <c r="PE52" s="256"/>
      <c r="PF52" s="256"/>
      <c r="PG52" s="256"/>
      <c r="PH52" s="256"/>
      <c r="PI52" s="256"/>
      <c r="PJ52" s="256"/>
      <c r="PK52" s="256"/>
      <c r="PL52" s="256"/>
      <c r="PM52" s="256"/>
      <c r="PN52" s="256"/>
      <c r="PO52" s="256"/>
      <c r="PP52" s="256"/>
      <c r="PQ52" s="256"/>
      <c r="PR52" s="256"/>
      <c r="PS52" s="256"/>
      <c r="PT52" s="256"/>
      <c r="PU52" s="256"/>
      <c r="PV52" s="256"/>
      <c r="PW52" s="256"/>
      <c r="PX52" s="256"/>
      <c r="PY52" s="256"/>
      <c r="PZ52" s="256"/>
      <c r="QA52" s="256"/>
      <c r="QB52" s="256"/>
      <c r="QC52" s="256"/>
      <c r="QD52" s="256"/>
      <c r="QE52" s="256"/>
      <c r="QF52" s="256"/>
      <c r="QG52" s="256"/>
      <c r="QH52" s="256"/>
    </row>
    <row r="53" spans="1:450" x14ac:dyDescent="0.25">
      <c r="A53" s="81" t="s">
        <v>179</v>
      </c>
      <c r="B53" s="81" t="s">
        <v>1310</v>
      </c>
      <c r="C53" s="81" t="s">
        <v>221</v>
      </c>
      <c r="D53" s="87">
        <v>2808</v>
      </c>
      <c r="E53" s="85">
        <v>0.75</v>
      </c>
      <c r="F53" s="87">
        <f t="shared" si="6"/>
        <v>2106</v>
      </c>
      <c r="G53" s="85">
        <v>0.25</v>
      </c>
      <c r="H53" s="86">
        <f t="shared" si="7"/>
        <v>702</v>
      </c>
      <c r="I53" s="82"/>
      <c r="J53" s="170">
        <f t="shared" si="8"/>
        <v>25272</v>
      </c>
    </row>
    <row r="54" spans="1:450" s="77" customFormat="1" x14ac:dyDescent="0.25">
      <c r="A54" s="88" t="s">
        <v>179</v>
      </c>
      <c r="B54" s="88" t="s">
        <v>2014</v>
      </c>
      <c r="C54" s="88" t="s">
        <v>221</v>
      </c>
      <c r="D54" s="87">
        <v>2303</v>
      </c>
      <c r="E54" s="100">
        <v>0.75</v>
      </c>
      <c r="F54" s="87">
        <f t="shared" si="6"/>
        <v>1727.25</v>
      </c>
      <c r="G54" s="100">
        <v>0.25</v>
      </c>
      <c r="H54" s="87">
        <f t="shared" si="7"/>
        <v>575.75</v>
      </c>
      <c r="I54" s="82"/>
      <c r="J54" s="170">
        <f t="shared" si="8"/>
        <v>20727</v>
      </c>
      <c r="K54" s="172">
        <f>SUM(J49:J54)</f>
        <v>122112</v>
      </c>
      <c r="L54" s="285">
        <f>K54</f>
        <v>122112</v>
      </c>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6"/>
      <c r="CH54" s="256"/>
      <c r="CI54" s="256"/>
      <c r="CJ54" s="256"/>
      <c r="CK54" s="256"/>
      <c r="CL54" s="256"/>
      <c r="CM54" s="256"/>
      <c r="CN54" s="256"/>
      <c r="CO54" s="256"/>
      <c r="CP54" s="256"/>
      <c r="CQ54" s="256"/>
      <c r="CR54" s="256"/>
      <c r="CS54" s="256"/>
      <c r="CT54" s="256"/>
      <c r="CU54" s="256"/>
      <c r="CV54" s="256"/>
      <c r="CW54" s="256"/>
      <c r="CX54" s="256"/>
      <c r="CY54" s="256"/>
      <c r="CZ54" s="256"/>
      <c r="DA54" s="256"/>
      <c r="DB54" s="256"/>
      <c r="DC54" s="256"/>
      <c r="DD54" s="256"/>
      <c r="DE54" s="256"/>
      <c r="DF54" s="256"/>
      <c r="DG54" s="256"/>
      <c r="DH54" s="256"/>
      <c r="DI54" s="256"/>
      <c r="DJ54" s="256"/>
      <c r="DK54" s="256"/>
      <c r="DL54" s="256"/>
      <c r="DM54" s="256"/>
      <c r="DN54" s="256"/>
      <c r="DO54" s="256"/>
      <c r="DP54" s="256"/>
      <c r="DQ54" s="256"/>
      <c r="DR54" s="256"/>
      <c r="DS54" s="256"/>
      <c r="DT54" s="256"/>
      <c r="DU54" s="256"/>
      <c r="DV54" s="256"/>
      <c r="DW54" s="256"/>
      <c r="DX54" s="256"/>
      <c r="DY54" s="256"/>
      <c r="DZ54" s="256"/>
      <c r="EA54" s="256"/>
      <c r="EB54" s="256"/>
      <c r="EC54" s="256"/>
      <c r="ED54" s="256"/>
      <c r="EE54" s="256"/>
      <c r="EF54" s="256"/>
      <c r="EG54" s="256"/>
      <c r="EH54" s="256"/>
      <c r="EI54" s="256"/>
      <c r="EJ54" s="256"/>
      <c r="EK54" s="256"/>
      <c r="EL54" s="256"/>
      <c r="EM54" s="256"/>
      <c r="EN54" s="256"/>
      <c r="EO54" s="256"/>
      <c r="EP54" s="256"/>
      <c r="EQ54" s="256"/>
      <c r="ER54" s="256"/>
      <c r="ES54" s="256"/>
      <c r="ET54" s="256"/>
      <c r="EU54" s="256"/>
      <c r="EV54" s="256"/>
      <c r="EW54" s="256"/>
      <c r="EX54" s="256"/>
      <c r="EY54" s="256"/>
      <c r="EZ54" s="256"/>
      <c r="FA54" s="256"/>
      <c r="FB54" s="256"/>
      <c r="FC54" s="256"/>
      <c r="FD54" s="256"/>
      <c r="FE54" s="256"/>
      <c r="FF54" s="256"/>
      <c r="FG54" s="256"/>
      <c r="FH54" s="256"/>
      <c r="FI54" s="256"/>
      <c r="FJ54" s="256"/>
      <c r="FK54" s="256"/>
      <c r="FL54" s="256"/>
      <c r="FM54" s="256"/>
      <c r="FN54" s="256"/>
      <c r="FO54" s="256"/>
      <c r="FP54" s="256"/>
      <c r="FQ54" s="256"/>
      <c r="FR54" s="256"/>
      <c r="FS54" s="256"/>
      <c r="FT54" s="256"/>
      <c r="FU54" s="256"/>
      <c r="FV54" s="256"/>
      <c r="FW54" s="256"/>
      <c r="FX54" s="256"/>
      <c r="FY54" s="256"/>
      <c r="FZ54" s="256"/>
      <c r="GA54" s="256"/>
      <c r="GB54" s="256"/>
      <c r="GC54" s="256"/>
      <c r="GD54" s="256"/>
      <c r="GE54" s="256"/>
      <c r="GF54" s="256"/>
      <c r="GG54" s="256"/>
      <c r="GH54" s="256"/>
      <c r="GI54" s="256"/>
      <c r="GJ54" s="256"/>
      <c r="GK54" s="256"/>
      <c r="GL54" s="256"/>
      <c r="GM54" s="256"/>
      <c r="GN54" s="256"/>
      <c r="GO54" s="256"/>
      <c r="GP54" s="256"/>
      <c r="GQ54" s="256"/>
      <c r="GR54" s="256"/>
      <c r="GS54" s="256"/>
      <c r="GT54" s="256"/>
      <c r="GU54" s="256"/>
      <c r="GV54" s="256"/>
      <c r="GW54" s="256"/>
      <c r="GX54" s="256"/>
      <c r="GY54" s="256"/>
      <c r="GZ54" s="256"/>
      <c r="HA54" s="256"/>
      <c r="HB54" s="256"/>
      <c r="HC54" s="256"/>
      <c r="HD54" s="256"/>
      <c r="HE54" s="256"/>
      <c r="HF54" s="256"/>
      <c r="HG54" s="256"/>
      <c r="HH54" s="256"/>
      <c r="HI54" s="256"/>
      <c r="HJ54" s="256"/>
      <c r="HK54" s="256"/>
      <c r="HL54" s="256"/>
      <c r="HM54" s="256"/>
      <c r="HN54" s="256"/>
      <c r="HO54" s="256"/>
      <c r="HP54" s="256"/>
      <c r="HQ54" s="256"/>
      <c r="HR54" s="256"/>
      <c r="HS54" s="256"/>
      <c r="HT54" s="256"/>
      <c r="HU54" s="256"/>
      <c r="HV54" s="256"/>
      <c r="HW54" s="256"/>
      <c r="HX54" s="256"/>
      <c r="HY54" s="256"/>
      <c r="HZ54" s="256"/>
      <c r="IA54" s="256"/>
      <c r="IB54" s="256"/>
      <c r="IC54" s="256"/>
      <c r="ID54" s="256"/>
      <c r="IE54" s="256"/>
      <c r="IF54" s="256"/>
      <c r="IG54" s="256"/>
      <c r="IH54" s="256"/>
      <c r="II54" s="256"/>
      <c r="IJ54" s="256"/>
      <c r="IK54" s="256"/>
      <c r="IL54" s="256"/>
      <c r="IM54" s="256"/>
      <c r="IN54" s="256"/>
      <c r="IO54" s="256"/>
      <c r="IP54" s="256"/>
      <c r="IQ54" s="256"/>
      <c r="IR54" s="256"/>
      <c r="IS54" s="256"/>
      <c r="IT54" s="256"/>
      <c r="IU54" s="256"/>
      <c r="IV54" s="256"/>
      <c r="IW54" s="256"/>
      <c r="IX54" s="256"/>
      <c r="IY54" s="256"/>
      <c r="IZ54" s="256"/>
      <c r="JA54" s="256"/>
      <c r="JB54" s="256"/>
      <c r="JC54" s="256"/>
      <c r="JD54" s="256"/>
      <c r="JE54" s="256"/>
      <c r="JF54" s="256"/>
      <c r="JG54" s="256"/>
      <c r="JH54" s="256"/>
      <c r="JI54" s="256"/>
      <c r="JJ54" s="256"/>
      <c r="JK54" s="256"/>
      <c r="JL54" s="256"/>
      <c r="JM54" s="256"/>
      <c r="JN54" s="256"/>
      <c r="JO54" s="256"/>
      <c r="JP54" s="256"/>
      <c r="JQ54" s="256"/>
      <c r="JR54" s="256"/>
      <c r="JS54" s="256"/>
      <c r="JT54" s="256"/>
      <c r="JU54" s="256"/>
      <c r="JV54" s="256"/>
      <c r="JW54" s="256"/>
      <c r="JX54" s="256"/>
      <c r="JY54" s="256"/>
      <c r="JZ54" s="256"/>
      <c r="KA54" s="256"/>
      <c r="KB54" s="256"/>
      <c r="KC54" s="256"/>
      <c r="KD54" s="256"/>
      <c r="KE54" s="256"/>
      <c r="KF54" s="256"/>
      <c r="KG54" s="256"/>
      <c r="KH54" s="256"/>
      <c r="KI54" s="256"/>
      <c r="KJ54" s="256"/>
      <c r="KK54" s="256"/>
      <c r="KL54" s="256"/>
      <c r="KM54" s="256"/>
      <c r="KN54" s="256"/>
      <c r="KO54" s="256"/>
      <c r="KP54" s="256"/>
      <c r="KQ54" s="256"/>
      <c r="KR54" s="256"/>
      <c r="KS54" s="256"/>
      <c r="KT54" s="256"/>
      <c r="KU54" s="256"/>
      <c r="KV54" s="256"/>
      <c r="KW54" s="256"/>
      <c r="KX54" s="256"/>
      <c r="KY54" s="256"/>
      <c r="KZ54" s="256"/>
      <c r="LA54" s="256"/>
      <c r="LB54" s="256"/>
      <c r="LC54" s="256"/>
      <c r="LD54" s="256"/>
      <c r="LE54" s="256"/>
      <c r="LF54" s="256"/>
      <c r="LG54" s="256"/>
      <c r="LH54" s="256"/>
      <c r="LI54" s="256"/>
      <c r="LJ54" s="256"/>
      <c r="LK54" s="256"/>
      <c r="LL54" s="256"/>
      <c r="LM54" s="256"/>
      <c r="LN54" s="256"/>
      <c r="LO54" s="256"/>
      <c r="LP54" s="256"/>
      <c r="LQ54" s="256"/>
      <c r="LR54" s="256"/>
      <c r="LS54" s="256"/>
      <c r="LT54" s="256"/>
      <c r="LU54" s="256"/>
      <c r="LV54" s="256"/>
      <c r="LW54" s="256"/>
      <c r="LX54" s="256"/>
      <c r="LY54" s="256"/>
      <c r="LZ54" s="256"/>
      <c r="MA54" s="256"/>
      <c r="MB54" s="256"/>
      <c r="MC54" s="256"/>
      <c r="MD54" s="256"/>
      <c r="ME54" s="256"/>
      <c r="MF54" s="256"/>
      <c r="MG54" s="256"/>
      <c r="MH54" s="256"/>
      <c r="MI54" s="256"/>
      <c r="MJ54" s="256"/>
      <c r="MK54" s="256"/>
      <c r="ML54" s="256"/>
      <c r="MM54" s="256"/>
      <c r="MN54" s="256"/>
      <c r="MO54" s="256"/>
      <c r="MP54" s="256"/>
      <c r="MQ54" s="256"/>
      <c r="MR54" s="256"/>
      <c r="MS54" s="256"/>
      <c r="MT54" s="256"/>
      <c r="MU54" s="256"/>
      <c r="MV54" s="256"/>
      <c r="MW54" s="256"/>
      <c r="MX54" s="256"/>
      <c r="MY54" s="256"/>
      <c r="MZ54" s="256"/>
      <c r="NA54" s="256"/>
      <c r="NB54" s="256"/>
      <c r="NC54" s="256"/>
      <c r="ND54" s="256"/>
      <c r="NE54" s="256"/>
      <c r="NF54" s="256"/>
      <c r="NG54" s="256"/>
      <c r="NH54" s="256"/>
      <c r="NI54" s="256"/>
      <c r="NJ54" s="256"/>
      <c r="NK54" s="256"/>
      <c r="NL54" s="256"/>
      <c r="NM54" s="256"/>
      <c r="NN54" s="256"/>
      <c r="NO54" s="256"/>
      <c r="NP54" s="256"/>
      <c r="NQ54" s="256"/>
      <c r="NR54" s="256"/>
      <c r="NS54" s="256"/>
      <c r="NT54" s="256"/>
      <c r="NU54" s="256"/>
      <c r="NV54" s="256"/>
      <c r="NW54" s="256"/>
      <c r="NX54" s="256"/>
      <c r="NY54" s="256"/>
      <c r="NZ54" s="256"/>
      <c r="OA54" s="256"/>
      <c r="OB54" s="256"/>
      <c r="OC54" s="256"/>
      <c r="OD54" s="256"/>
      <c r="OE54" s="256"/>
      <c r="OF54" s="256"/>
      <c r="OG54" s="256"/>
      <c r="OH54" s="256"/>
      <c r="OI54" s="256"/>
      <c r="OJ54" s="256"/>
      <c r="OK54" s="256"/>
      <c r="OL54" s="256"/>
      <c r="OM54" s="256"/>
      <c r="ON54" s="256"/>
      <c r="OO54" s="256"/>
      <c r="OP54" s="256"/>
      <c r="OQ54" s="256"/>
      <c r="OR54" s="256"/>
      <c r="OS54" s="256"/>
      <c r="OT54" s="256"/>
      <c r="OU54" s="256"/>
      <c r="OV54" s="256"/>
      <c r="OW54" s="256"/>
      <c r="OX54" s="256"/>
      <c r="OY54" s="256"/>
      <c r="OZ54" s="256"/>
      <c r="PA54" s="256"/>
      <c r="PB54" s="256"/>
      <c r="PC54" s="256"/>
      <c r="PD54" s="256"/>
      <c r="PE54" s="256"/>
      <c r="PF54" s="256"/>
      <c r="PG54" s="256"/>
      <c r="PH54" s="256"/>
      <c r="PI54" s="256"/>
      <c r="PJ54" s="256"/>
      <c r="PK54" s="256"/>
      <c r="PL54" s="256"/>
      <c r="PM54" s="256"/>
      <c r="PN54" s="256"/>
      <c r="PO54" s="256"/>
      <c r="PP54" s="256"/>
      <c r="PQ54" s="256"/>
      <c r="PR54" s="256"/>
      <c r="PS54" s="256"/>
      <c r="PT54" s="256"/>
      <c r="PU54" s="256"/>
      <c r="PV54" s="256"/>
      <c r="PW54" s="256"/>
      <c r="PX54" s="256"/>
      <c r="PY54" s="256"/>
      <c r="PZ54" s="256"/>
      <c r="QA54" s="256"/>
      <c r="QB54" s="256"/>
      <c r="QC54" s="256"/>
      <c r="QD54" s="256"/>
      <c r="QE54" s="256"/>
      <c r="QF54" s="256"/>
      <c r="QG54" s="256"/>
      <c r="QH54" s="256"/>
    </row>
    <row r="55" spans="1:450" s="77" customFormat="1" ht="15.75" thickBot="1" x14ac:dyDescent="0.3">
      <c r="A55" s="90"/>
      <c r="B55" s="90"/>
      <c r="C55" s="90"/>
      <c r="D55" s="99">
        <f>SUM(D49:D54)</f>
        <v>13568</v>
      </c>
      <c r="E55" s="91"/>
      <c r="F55" s="99">
        <f>SUM(F49:F53)</f>
        <v>8448.75</v>
      </c>
      <c r="G55" s="82"/>
      <c r="H55" s="99">
        <f>SUM(H49:H53)</f>
        <v>2816.25</v>
      </c>
      <c r="J55" s="172"/>
      <c r="K55" s="172"/>
      <c r="L55" s="290"/>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c r="CJ55" s="256"/>
      <c r="CK55" s="256"/>
      <c r="CL55" s="256"/>
      <c r="CM55" s="256"/>
      <c r="CN55" s="256"/>
      <c r="CO55" s="256"/>
      <c r="CP55" s="256"/>
      <c r="CQ55" s="256"/>
      <c r="CR55" s="256"/>
      <c r="CS55" s="256"/>
      <c r="CT55" s="256"/>
      <c r="CU55" s="256"/>
      <c r="CV55" s="256"/>
      <c r="CW55" s="256"/>
      <c r="CX55" s="256"/>
      <c r="CY55" s="256"/>
      <c r="CZ55" s="256"/>
      <c r="DA55" s="256"/>
      <c r="DB55" s="256"/>
      <c r="DC55" s="256"/>
      <c r="DD55" s="256"/>
      <c r="DE55" s="256"/>
      <c r="DF55" s="256"/>
      <c r="DG55" s="256"/>
      <c r="DH55" s="256"/>
      <c r="DI55" s="256"/>
      <c r="DJ55" s="256"/>
      <c r="DK55" s="256"/>
      <c r="DL55" s="256"/>
      <c r="DM55" s="256"/>
      <c r="DN55" s="256"/>
      <c r="DO55" s="256"/>
      <c r="DP55" s="256"/>
      <c r="DQ55" s="256"/>
      <c r="DR55" s="256"/>
      <c r="DS55" s="256"/>
      <c r="DT55" s="256"/>
      <c r="DU55" s="256"/>
      <c r="DV55" s="256"/>
      <c r="DW55" s="256"/>
      <c r="DX55" s="256"/>
      <c r="DY55" s="256"/>
      <c r="DZ55" s="256"/>
      <c r="EA55" s="256"/>
      <c r="EB55" s="256"/>
      <c r="EC55" s="256"/>
      <c r="ED55" s="256"/>
      <c r="EE55" s="256"/>
      <c r="EF55" s="256"/>
      <c r="EG55" s="256"/>
      <c r="EH55" s="256"/>
      <c r="EI55" s="256"/>
      <c r="EJ55" s="256"/>
      <c r="EK55" s="256"/>
      <c r="EL55" s="256"/>
      <c r="EM55" s="256"/>
      <c r="EN55" s="256"/>
      <c r="EO55" s="256"/>
      <c r="EP55" s="256"/>
      <c r="EQ55" s="256"/>
      <c r="ER55" s="256"/>
      <c r="ES55" s="256"/>
      <c r="ET55" s="256"/>
      <c r="EU55" s="256"/>
      <c r="EV55" s="256"/>
      <c r="EW55" s="256"/>
      <c r="EX55" s="256"/>
      <c r="EY55" s="256"/>
      <c r="EZ55" s="256"/>
      <c r="FA55" s="256"/>
      <c r="FB55" s="256"/>
      <c r="FC55" s="256"/>
      <c r="FD55" s="256"/>
      <c r="FE55" s="256"/>
      <c r="FF55" s="256"/>
      <c r="FG55" s="256"/>
      <c r="FH55" s="256"/>
      <c r="FI55" s="256"/>
      <c r="FJ55" s="256"/>
      <c r="FK55" s="256"/>
      <c r="FL55" s="256"/>
      <c r="FM55" s="256"/>
      <c r="FN55" s="256"/>
      <c r="FO55" s="256"/>
      <c r="FP55" s="256"/>
      <c r="FQ55" s="256"/>
      <c r="FR55" s="256"/>
      <c r="FS55" s="256"/>
      <c r="FT55" s="256"/>
      <c r="FU55" s="256"/>
      <c r="FV55" s="256"/>
      <c r="FW55" s="256"/>
      <c r="FX55" s="256"/>
      <c r="FY55" s="256"/>
      <c r="FZ55" s="256"/>
      <c r="GA55" s="256"/>
      <c r="GB55" s="256"/>
      <c r="GC55" s="256"/>
      <c r="GD55" s="256"/>
      <c r="GE55" s="256"/>
      <c r="GF55" s="256"/>
      <c r="GG55" s="256"/>
      <c r="GH55" s="256"/>
      <c r="GI55" s="256"/>
      <c r="GJ55" s="256"/>
      <c r="GK55" s="256"/>
      <c r="GL55" s="256"/>
      <c r="GM55" s="256"/>
      <c r="GN55" s="256"/>
      <c r="GO55" s="256"/>
      <c r="GP55" s="256"/>
      <c r="GQ55" s="256"/>
      <c r="GR55" s="256"/>
      <c r="GS55" s="256"/>
      <c r="GT55" s="256"/>
      <c r="GU55" s="256"/>
      <c r="GV55" s="256"/>
      <c r="GW55" s="256"/>
      <c r="GX55" s="256"/>
      <c r="GY55" s="256"/>
      <c r="GZ55" s="256"/>
      <c r="HA55" s="256"/>
      <c r="HB55" s="256"/>
      <c r="HC55" s="256"/>
      <c r="HD55" s="256"/>
      <c r="HE55" s="256"/>
      <c r="HF55" s="256"/>
      <c r="HG55" s="256"/>
      <c r="HH55" s="256"/>
      <c r="HI55" s="256"/>
      <c r="HJ55" s="256"/>
      <c r="HK55" s="256"/>
      <c r="HL55" s="256"/>
      <c r="HM55" s="256"/>
      <c r="HN55" s="256"/>
      <c r="HO55" s="256"/>
      <c r="HP55" s="256"/>
      <c r="HQ55" s="256"/>
      <c r="HR55" s="256"/>
      <c r="HS55" s="256"/>
      <c r="HT55" s="256"/>
      <c r="HU55" s="256"/>
      <c r="HV55" s="256"/>
      <c r="HW55" s="256"/>
      <c r="HX55" s="256"/>
      <c r="HY55" s="256"/>
      <c r="HZ55" s="256"/>
      <c r="IA55" s="256"/>
      <c r="IB55" s="256"/>
      <c r="IC55" s="256"/>
      <c r="ID55" s="256"/>
      <c r="IE55" s="256"/>
      <c r="IF55" s="256"/>
      <c r="IG55" s="256"/>
      <c r="IH55" s="256"/>
      <c r="II55" s="256"/>
      <c r="IJ55" s="256"/>
      <c r="IK55" s="256"/>
      <c r="IL55" s="256"/>
      <c r="IM55" s="256"/>
      <c r="IN55" s="256"/>
      <c r="IO55" s="256"/>
      <c r="IP55" s="256"/>
      <c r="IQ55" s="256"/>
      <c r="IR55" s="256"/>
      <c r="IS55" s="256"/>
      <c r="IT55" s="256"/>
      <c r="IU55" s="256"/>
      <c r="IV55" s="256"/>
      <c r="IW55" s="256"/>
      <c r="IX55" s="256"/>
      <c r="IY55" s="256"/>
      <c r="IZ55" s="256"/>
      <c r="JA55" s="256"/>
      <c r="JB55" s="256"/>
      <c r="JC55" s="256"/>
      <c r="JD55" s="256"/>
      <c r="JE55" s="256"/>
      <c r="JF55" s="256"/>
      <c r="JG55" s="256"/>
      <c r="JH55" s="256"/>
      <c r="JI55" s="256"/>
      <c r="JJ55" s="256"/>
      <c r="JK55" s="256"/>
      <c r="JL55" s="256"/>
      <c r="JM55" s="256"/>
      <c r="JN55" s="256"/>
      <c r="JO55" s="256"/>
      <c r="JP55" s="256"/>
      <c r="JQ55" s="256"/>
      <c r="JR55" s="256"/>
      <c r="JS55" s="256"/>
      <c r="JT55" s="256"/>
      <c r="JU55" s="256"/>
      <c r="JV55" s="256"/>
      <c r="JW55" s="256"/>
      <c r="JX55" s="256"/>
      <c r="JY55" s="256"/>
      <c r="JZ55" s="256"/>
      <c r="KA55" s="256"/>
      <c r="KB55" s="256"/>
      <c r="KC55" s="256"/>
      <c r="KD55" s="256"/>
      <c r="KE55" s="256"/>
      <c r="KF55" s="256"/>
      <c r="KG55" s="256"/>
      <c r="KH55" s="256"/>
      <c r="KI55" s="256"/>
      <c r="KJ55" s="256"/>
      <c r="KK55" s="256"/>
      <c r="KL55" s="256"/>
      <c r="KM55" s="256"/>
      <c r="KN55" s="256"/>
      <c r="KO55" s="256"/>
      <c r="KP55" s="256"/>
      <c r="KQ55" s="256"/>
      <c r="KR55" s="256"/>
      <c r="KS55" s="256"/>
      <c r="KT55" s="256"/>
      <c r="KU55" s="256"/>
      <c r="KV55" s="256"/>
      <c r="KW55" s="256"/>
      <c r="KX55" s="256"/>
      <c r="KY55" s="256"/>
      <c r="KZ55" s="256"/>
      <c r="LA55" s="256"/>
      <c r="LB55" s="256"/>
      <c r="LC55" s="256"/>
      <c r="LD55" s="256"/>
      <c r="LE55" s="256"/>
      <c r="LF55" s="256"/>
      <c r="LG55" s="256"/>
      <c r="LH55" s="256"/>
      <c r="LI55" s="256"/>
      <c r="LJ55" s="256"/>
      <c r="LK55" s="256"/>
      <c r="LL55" s="256"/>
      <c r="LM55" s="256"/>
      <c r="LN55" s="256"/>
      <c r="LO55" s="256"/>
      <c r="LP55" s="256"/>
      <c r="LQ55" s="256"/>
      <c r="LR55" s="256"/>
      <c r="LS55" s="256"/>
      <c r="LT55" s="256"/>
      <c r="LU55" s="256"/>
      <c r="LV55" s="256"/>
      <c r="LW55" s="256"/>
      <c r="LX55" s="256"/>
      <c r="LY55" s="256"/>
      <c r="LZ55" s="256"/>
      <c r="MA55" s="256"/>
      <c r="MB55" s="256"/>
      <c r="MC55" s="256"/>
      <c r="MD55" s="256"/>
      <c r="ME55" s="256"/>
      <c r="MF55" s="256"/>
      <c r="MG55" s="256"/>
      <c r="MH55" s="256"/>
      <c r="MI55" s="256"/>
      <c r="MJ55" s="256"/>
      <c r="MK55" s="256"/>
      <c r="ML55" s="256"/>
      <c r="MM55" s="256"/>
      <c r="MN55" s="256"/>
      <c r="MO55" s="256"/>
      <c r="MP55" s="256"/>
      <c r="MQ55" s="256"/>
      <c r="MR55" s="256"/>
      <c r="MS55" s="256"/>
      <c r="MT55" s="256"/>
      <c r="MU55" s="256"/>
      <c r="MV55" s="256"/>
      <c r="MW55" s="256"/>
      <c r="MX55" s="256"/>
      <c r="MY55" s="256"/>
      <c r="MZ55" s="256"/>
      <c r="NA55" s="256"/>
      <c r="NB55" s="256"/>
      <c r="NC55" s="256"/>
      <c r="ND55" s="256"/>
      <c r="NE55" s="256"/>
      <c r="NF55" s="256"/>
      <c r="NG55" s="256"/>
      <c r="NH55" s="256"/>
      <c r="NI55" s="256"/>
      <c r="NJ55" s="256"/>
      <c r="NK55" s="256"/>
      <c r="NL55" s="256"/>
      <c r="NM55" s="256"/>
      <c r="NN55" s="256"/>
      <c r="NO55" s="256"/>
      <c r="NP55" s="256"/>
      <c r="NQ55" s="256"/>
      <c r="NR55" s="256"/>
      <c r="NS55" s="256"/>
      <c r="NT55" s="256"/>
      <c r="NU55" s="256"/>
      <c r="NV55" s="256"/>
      <c r="NW55" s="256"/>
      <c r="NX55" s="256"/>
      <c r="NY55" s="256"/>
      <c r="NZ55" s="256"/>
      <c r="OA55" s="256"/>
      <c r="OB55" s="256"/>
      <c r="OC55" s="256"/>
      <c r="OD55" s="256"/>
      <c r="OE55" s="256"/>
      <c r="OF55" s="256"/>
      <c r="OG55" s="256"/>
      <c r="OH55" s="256"/>
      <c r="OI55" s="256"/>
      <c r="OJ55" s="256"/>
      <c r="OK55" s="256"/>
      <c r="OL55" s="256"/>
      <c r="OM55" s="256"/>
      <c r="ON55" s="256"/>
      <c r="OO55" s="256"/>
      <c r="OP55" s="256"/>
      <c r="OQ55" s="256"/>
      <c r="OR55" s="256"/>
      <c r="OS55" s="256"/>
      <c r="OT55" s="256"/>
      <c r="OU55" s="256"/>
      <c r="OV55" s="256"/>
      <c r="OW55" s="256"/>
      <c r="OX55" s="256"/>
      <c r="OY55" s="256"/>
      <c r="OZ55" s="256"/>
      <c r="PA55" s="256"/>
      <c r="PB55" s="256"/>
      <c r="PC55" s="256"/>
      <c r="PD55" s="256"/>
      <c r="PE55" s="256"/>
      <c r="PF55" s="256"/>
      <c r="PG55" s="256"/>
      <c r="PH55" s="256"/>
      <c r="PI55" s="256"/>
      <c r="PJ55" s="256"/>
      <c r="PK55" s="256"/>
      <c r="PL55" s="256"/>
      <c r="PM55" s="256"/>
      <c r="PN55" s="256"/>
      <c r="PO55" s="256"/>
      <c r="PP55" s="256"/>
      <c r="PQ55" s="256"/>
      <c r="PR55" s="256"/>
      <c r="PS55" s="256"/>
      <c r="PT55" s="256"/>
      <c r="PU55" s="256"/>
      <c r="PV55" s="256"/>
      <c r="PW55" s="256"/>
      <c r="PX55" s="256"/>
      <c r="PY55" s="256"/>
      <c r="PZ55" s="256"/>
      <c r="QA55" s="256"/>
      <c r="QB55" s="256"/>
      <c r="QC55" s="256"/>
      <c r="QD55" s="256"/>
      <c r="QE55" s="256"/>
      <c r="QF55" s="256"/>
      <c r="QG55" s="256"/>
      <c r="QH55" s="256"/>
    </row>
    <row r="56" spans="1:450" s="77" customFormat="1" ht="15.75" thickTop="1" x14ac:dyDescent="0.25">
      <c r="A56" s="90"/>
      <c r="B56" s="90"/>
      <c r="C56" s="90"/>
      <c r="D56" s="263"/>
      <c r="E56" s="91"/>
      <c r="F56" s="263"/>
      <c r="G56" s="82"/>
      <c r="H56" s="264"/>
      <c r="J56" s="172"/>
      <c r="K56" s="172"/>
      <c r="L56" s="290"/>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256"/>
      <c r="CB56" s="256"/>
      <c r="CC56" s="256"/>
      <c r="CD56" s="256"/>
      <c r="CE56" s="256"/>
      <c r="CF56" s="256"/>
      <c r="CG56" s="256"/>
      <c r="CH56" s="256"/>
      <c r="CI56" s="256"/>
      <c r="CJ56" s="256"/>
      <c r="CK56" s="256"/>
      <c r="CL56" s="256"/>
      <c r="CM56" s="256"/>
      <c r="CN56" s="256"/>
      <c r="CO56" s="256"/>
      <c r="CP56" s="256"/>
      <c r="CQ56" s="256"/>
      <c r="CR56" s="256"/>
      <c r="CS56" s="256"/>
      <c r="CT56" s="256"/>
      <c r="CU56" s="256"/>
      <c r="CV56" s="256"/>
      <c r="CW56" s="256"/>
      <c r="CX56" s="256"/>
      <c r="CY56" s="256"/>
      <c r="CZ56" s="256"/>
      <c r="DA56" s="256"/>
      <c r="DB56" s="256"/>
      <c r="DC56" s="256"/>
      <c r="DD56" s="256"/>
      <c r="DE56" s="256"/>
      <c r="DF56" s="256"/>
      <c r="DG56" s="256"/>
      <c r="DH56" s="256"/>
      <c r="DI56" s="256"/>
      <c r="DJ56" s="256"/>
      <c r="DK56" s="256"/>
      <c r="DL56" s="256"/>
      <c r="DM56" s="256"/>
      <c r="DN56" s="256"/>
      <c r="DO56" s="256"/>
      <c r="DP56" s="256"/>
      <c r="DQ56" s="256"/>
      <c r="DR56" s="256"/>
      <c r="DS56" s="256"/>
      <c r="DT56" s="256"/>
      <c r="DU56" s="256"/>
      <c r="DV56" s="256"/>
      <c r="DW56" s="256"/>
      <c r="DX56" s="256"/>
      <c r="DY56" s="256"/>
      <c r="DZ56" s="256"/>
      <c r="EA56" s="256"/>
      <c r="EB56" s="256"/>
      <c r="EC56" s="256"/>
      <c r="ED56" s="256"/>
      <c r="EE56" s="256"/>
      <c r="EF56" s="256"/>
      <c r="EG56" s="256"/>
      <c r="EH56" s="256"/>
      <c r="EI56" s="256"/>
      <c r="EJ56" s="256"/>
      <c r="EK56" s="256"/>
      <c r="EL56" s="256"/>
      <c r="EM56" s="256"/>
      <c r="EN56" s="256"/>
      <c r="EO56" s="256"/>
      <c r="EP56" s="256"/>
      <c r="EQ56" s="256"/>
      <c r="ER56" s="256"/>
      <c r="ES56" s="256"/>
      <c r="ET56" s="256"/>
      <c r="EU56" s="256"/>
      <c r="EV56" s="256"/>
      <c r="EW56" s="256"/>
      <c r="EX56" s="256"/>
      <c r="EY56" s="256"/>
      <c r="EZ56" s="256"/>
      <c r="FA56" s="256"/>
      <c r="FB56" s="256"/>
      <c r="FC56" s="256"/>
      <c r="FD56" s="256"/>
      <c r="FE56" s="256"/>
      <c r="FF56" s="256"/>
      <c r="FG56" s="256"/>
      <c r="FH56" s="256"/>
      <c r="FI56" s="256"/>
      <c r="FJ56" s="256"/>
      <c r="FK56" s="256"/>
      <c r="FL56" s="256"/>
      <c r="FM56" s="256"/>
      <c r="FN56" s="256"/>
      <c r="FO56" s="256"/>
      <c r="FP56" s="256"/>
      <c r="FQ56" s="256"/>
      <c r="FR56" s="256"/>
      <c r="FS56" s="256"/>
      <c r="FT56" s="256"/>
      <c r="FU56" s="256"/>
      <c r="FV56" s="256"/>
      <c r="FW56" s="256"/>
      <c r="FX56" s="256"/>
      <c r="FY56" s="256"/>
      <c r="FZ56" s="256"/>
      <c r="GA56" s="256"/>
      <c r="GB56" s="256"/>
      <c r="GC56" s="256"/>
      <c r="GD56" s="256"/>
      <c r="GE56" s="256"/>
      <c r="GF56" s="256"/>
      <c r="GG56" s="256"/>
      <c r="GH56" s="256"/>
      <c r="GI56" s="256"/>
      <c r="GJ56" s="256"/>
      <c r="GK56" s="256"/>
      <c r="GL56" s="256"/>
      <c r="GM56" s="256"/>
      <c r="GN56" s="256"/>
      <c r="GO56" s="256"/>
      <c r="GP56" s="256"/>
      <c r="GQ56" s="256"/>
      <c r="GR56" s="256"/>
      <c r="GS56" s="256"/>
      <c r="GT56" s="256"/>
      <c r="GU56" s="256"/>
      <c r="GV56" s="256"/>
      <c r="GW56" s="256"/>
      <c r="GX56" s="256"/>
      <c r="GY56" s="256"/>
      <c r="GZ56" s="256"/>
      <c r="HA56" s="256"/>
      <c r="HB56" s="256"/>
      <c r="HC56" s="256"/>
      <c r="HD56" s="256"/>
      <c r="HE56" s="256"/>
      <c r="HF56" s="256"/>
      <c r="HG56" s="256"/>
      <c r="HH56" s="256"/>
      <c r="HI56" s="256"/>
      <c r="HJ56" s="256"/>
      <c r="HK56" s="256"/>
      <c r="HL56" s="256"/>
      <c r="HM56" s="256"/>
      <c r="HN56" s="256"/>
      <c r="HO56" s="256"/>
      <c r="HP56" s="256"/>
      <c r="HQ56" s="256"/>
      <c r="HR56" s="256"/>
      <c r="HS56" s="256"/>
      <c r="HT56" s="256"/>
      <c r="HU56" s="256"/>
      <c r="HV56" s="256"/>
      <c r="HW56" s="256"/>
      <c r="HX56" s="256"/>
      <c r="HY56" s="256"/>
      <c r="HZ56" s="256"/>
      <c r="IA56" s="256"/>
      <c r="IB56" s="256"/>
      <c r="IC56" s="256"/>
      <c r="ID56" s="256"/>
      <c r="IE56" s="256"/>
      <c r="IF56" s="256"/>
      <c r="IG56" s="256"/>
      <c r="IH56" s="256"/>
      <c r="II56" s="256"/>
      <c r="IJ56" s="256"/>
      <c r="IK56" s="256"/>
      <c r="IL56" s="256"/>
      <c r="IM56" s="256"/>
      <c r="IN56" s="256"/>
      <c r="IO56" s="256"/>
      <c r="IP56" s="256"/>
      <c r="IQ56" s="256"/>
      <c r="IR56" s="256"/>
      <c r="IS56" s="256"/>
      <c r="IT56" s="256"/>
      <c r="IU56" s="256"/>
      <c r="IV56" s="256"/>
      <c r="IW56" s="256"/>
      <c r="IX56" s="256"/>
      <c r="IY56" s="256"/>
      <c r="IZ56" s="256"/>
      <c r="JA56" s="256"/>
      <c r="JB56" s="256"/>
      <c r="JC56" s="256"/>
      <c r="JD56" s="256"/>
      <c r="JE56" s="256"/>
      <c r="JF56" s="256"/>
      <c r="JG56" s="256"/>
      <c r="JH56" s="256"/>
      <c r="JI56" s="256"/>
      <c r="JJ56" s="256"/>
      <c r="JK56" s="256"/>
      <c r="JL56" s="256"/>
      <c r="JM56" s="256"/>
      <c r="JN56" s="256"/>
      <c r="JO56" s="256"/>
      <c r="JP56" s="256"/>
      <c r="JQ56" s="256"/>
      <c r="JR56" s="256"/>
      <c r="JS56" s="256"/>
      <c r="JT56" s="256"/>
      <c r="JU56" s="256"/>
      <c r="JV56" s="256"/>
      <c r="JW56" s="256"/>
      <c r="JX56" s="256"/>
      <c r="JY56" s="256"/>
      <c r="JZ56" s="256"/>
      <c r="KA56" s="256"/>
      <c r="KB56" s="256"/>
      <c r="KC56" s="256"/>
      <c r="KD56" s="256"/>
      <c r="KE56" s="256"/>
      <c r="KF56" s="256"/>
      <c r="KG56" s="256"/>
      <c r="KH56" s="256"/>
      <c r="KI56" s="256"/>
      <c r="KJ56" s="256"/>
      <c r="KK56" s="256"/>
      <c r="KL56" s="256"/>
      <c r="KM56" s="256"/>
      <c r="KN56" s="256"/>
      <c r="KO56" s="256"/>
      <c r="KP56" s="256"/>
      <c r="KQ56" s="256"/>
      <c r="KR56" s="256"/>
      <c r="KS56" s="256"/>
      <c r="KT56" s="256"/>
      <c r="KU56" s="256"/>
      <c r="KV56" s="256"/>
      <c r="KW56" s="256"/>
      <c r="KX56" s="256"/>
      <c r="KY56" s="256"/>
      <c r="KZ56" s="256"/>
      <c r="LA56" s="256"/>
      <c r="LB56" s="256"/>
      <c r="LC56" s="256"/>
      <c r="LD56" s="256"/>
      <c r="LE56" s="256"/>
      <c r="LF56" s="256"/>
      <c r="LG56" s="256"/>
      <c r="LH56" s="256"/>
      <c r="LI56" s="256"/>
      <c r="LJ56" s="256"/>
      <c r="LK56" s="256"/>
      <c r="LL56" s="256"/>
      <c r="LM56" s="256"/>
      <c r="LN56" s="256"/>
      <c r="LO56" s="256"/>
      <c r="LP56" s="256"/>
      <c r="LQ56" s="256"/>
      <c r="LR56" s="256"/>
      <c r="LS56" s="256"/>
      <c r="LT56" s="256"/>
      <c r="LU56" s="256"/>
      <c r="LV56" s="256"/>
      <c r="LW56" s="256"/>
      <c r="LX56" s="256"/>
      <c r="LY56" s="256"/>
      <c r="LZ56" s="256"/>
      <c r="MA56" s="256"/>
      <c r="MB56" s="256"/>
      <c r="MC56" s="256"/>
      <c r="MD56" s="256"/>
      <c r="ME56" s="256"/>
      <c r="MF56" s="256"/>
      <c r="MG56" s="256"/>
      <c r="MH56" s="256"/>
      <c r="MI56" s="256"/>
      <c r="MJ56" s="256"/>
      <c r="MK56" s="256"/>
      <c r="ML56" s="256"/>
      <c r="MM56" s="256"/>
      <c r="MN56" s="256"/>
      <c r="MO56" s="256"/>
      <c r="MP56" s="256"/>
      <c r="MQ56" s="256"/>
      <c r="MR56" s="256"/>
      <c r="MS56" s="256"/>
      <c r="MT56" s="256"/>
      <c r="MU56" s="256"/>
      <c r="MV56" s="256"/>
      <c r="MW56" s="256"/>
      <c r="MX56" s="256"/>
      <c r="MY56" s="256"/>
      <c r="MZ56" s="256"/>
      <c r="NA56" s="256"/>
      <c r="NB56" s="256"/>
      <c r="NC56" s="256"/>
      <c r="ND56" s="256"/>
      <c r="NE56" s="256"/>
      <c r="NF56" s="256"/>
      <c r="NG56" s="256"/>
      <c r="NH56" s="256"/>
      <c r="NI56" s="256"/>
      <c r="NJ56" s="256"/>
      <c r="NK56" s="256"/>
      <c r="NL56" s="256"/>
      <c r="NM56" s="256"/>
      <c r="NN56" s="256"/>
      <c r="NO56" s="256"/>
      <c r="NP56" s="256"/>
      <c r="NQ56" s="256"/>
      <c r="NR56" s="256"/>
      <c r="NS56" s="256"/>
      <c r="NT56" s="256"/>
      <c r="NU56" s="256"/>
      <c r="NV56" s="256"/>
      <c r="NW56" s="256"/>
      <c r="NX56" s="256"/>
      <c r="NY56" s="256"/>
      <c r="NZ56" s="256"/>
      <c r="OA56" s="256"/>
      <c r="OB56" s="256"/>
      <c r="OC56" s="256"/>
      <c r="OD56" s="256"/>
      <c r="OE56" s="256"/>
      <c r="OF56" s="256"/>
      <c r="OG56" s="256"/>
      <c r="OH56" s="256"/>
      <c r="OI56" s="256"/>
      <c r="OJ56" s="256"/>
      <c r="OK56" s="256"/>
      <c r="OL56" s="256"/>
      <c r="OM56" s="256"/>
      <c r="ON56" s="256"/>
      <c r="OO56" s="256"/>
      <c r="OP56" s="256"/>
      <c r="OQ56" s="256"/>
      <c r="OR56" s="256"/>
      <c r="OS56" s="256"/>
      <c r="OT56" s="256"/>
      <c r="OU56" s="256"/>
      <c r="OV56" s="256"/>
      <c r="OW56" s="256"/>
      <c r="OX56" s="256"/>
      <c r="OY56" s="256"/>
      <c r="OZ56" s="256"/>
      <c r="PA56" s="256"/>
      <c r="PB56" s="256"/>
      <c r="PC56" s="256"/>
      <c r="PD56" s="256"/>
      <c r="PE56" s="256"/>
      <c r="PF56" s="256"/>
      <c r="PG56" s="256"/>
      <c r="PH56" s="256"/>
      <c r="PI56" s="256"/>
      <c r="PJ56" s="256"/>
      <c r="PK56" s="256"/>
      <c r="PL56" s="256"/>
      <c r="PM56" s="256"/>
      <c r="PN56" s="256"/>
      <c r="PO56" s="256"/>
      <c r="PP56" s="256"/>
      <c r="PQ56" s="256"/>
      <c r="PR56" s="256"/>
      <c r="PS56" s="256"/>
      <c r="PT56" s="256"/>
      <c r="PU56" s="256"/>
      <c r="PV56" s="256"/>
      <c r="PW56" s="256"/>
      <c r="PX56" s="256"/>
      <c r="PY56" s="256"/>
      <c r="PZ56" s="256"/>
      <c r="QA56" s="256"/>
      <c r="QB56" s="256"/>
      <c r="QC56" s="256"/>
      <c r="QD56" s="256"/>
      <c r="QE56" s="256"/>
      <c r="QF56" s="256"/>
      <c r="QG56" s="256"/>
      <c r="QH56" s="256"/>
    </row>
    <row r="57" spans="1:450" x14ac:dyDescent="0.25">
      <c r="A57" s="171" t="s">
        <v>1101</v>
      </c>
    </row>
    <row r="58" spans="1:450" s="255" customFormat="1" x14ac:dyDescent="0.25">
      <c r="A58" s="249" t="s">
        <v>202</v>
      </c>
      <c r="B58" s="337" t="s">
        <v>242</v>
      </c>
      <c r="C58" s="249" t="s">
        <v>209</v>
      </c>
      <c r="D58" s="250">
        <v>1640</v>
      </c>
      <c r="E58" s="251">
        <v>0.75</v>
      </c>
      <c r="F58" s="250">
        <v>840.75</v>
      </c>
      <c r="G58" s="251">
        <v>0.25</v>
      </c>
      <c r="H58" s="250">
        <f>D58-F58</f>
        <v>799.25</v>
      </c>
      <c r="I58" s="252"/>
      <c r="J58" s="253">
        <f>F58*12</f>
        <v>10089</v>
      </c>
      <c r="K58" s="254" t="s">
        <v>2161</v>
      </c>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c r="CJ58" s="256"/>
      <c r="CK58" s="256"/>
      <c r="CL58" s="256"/>
      <c r="CM58" s="256"/>
      <c r="CN58" s="256"/>
      <c r="CO58" s="256"/>
      <c r="CP58" s="256"/>
      <c r="CQ58" s="256"/>
      <c r="CR58" s="256"/>
      <c r="CS58" s="256"/>
      <c r="CT58" s="256"/>
      <c r="CU58" s="256"/>
      <c r="CV58" s="256"/>
      <c r="CW58" s="256"/>
      <c r="CX58" s="256"/>
      <c r="CY58" s="256"/>
      <c r="CZ58" s="256"/>
      <c r="DA58" s="256"/>
      <c r="DB58" s="256"/>
      <c r="DC58" s="256"/>
      <c r="DD58" s="256"/>
      <c r="DE58" s="256"/>
      <c r="DF58" s="256"/>
      <c r="DG58" s="256"/>
      <c r="DH58" s="256"/>
      <c r="DI58" s="256"/>
      <c r="DJ58" s="256"/>
      <c r="DK58" s="256"/>
      <c r="DL58" s="256"/>
      <c r="DM58" s="256"/>
      <c r="DN58" s="256"/>
      <c r="DO58" s="256"/>
      <c r="DP58" s="256"/>
      <c r="DQ58" s="256"/>
      <c r="DR58" s="256"/>
      <c r="DS58" s="256"/>
      <c r="DT58" s="256"/>
      <c r="DU58" s="256"/>
      <c r="DV58" s="256"/>
      <c r="DW58" s="256"/>
      <c r="DX58" s="256"/>
      <c r="DY58" s="256"/>
      <c r="DZ58" s="256"/>
      <c r="EA58" s="256"/>
      <c r="EB58" s="256"/>
      <c r="EC58" s="256"/>
      <c r="ED58" s="256"/>
      <c r="EE58" s="256"/>
      <c r="EF58" s="256"/>
      <c r="EG58" s="256"/>
      <c r="EH58" s="256"/>
      <c r="EI58" s="256"/>
      <c r="EJ58" s="256"/>
      <c r="EK58" s="256"/>
      <c r="EL58" s="256"/>
      <c r="EM58" s="256"/>
      <c r="EN58" s="256"/>
      <c r="EO58" s="256"/>
      <c r="EP58" s="256"/>
      <c r="EQ58" s="256"/>
      <c r="ER58" s="256"/>
      <c r="ES58" s="256"/>
      <c r="ET58" s="256"/>
      <c r="EU58" s="256"/>
      <c r="EV58" s="256"/>
      <c r="EW58" s="256"/>
      <c r="EX58" s="256"/>
      <c r="EY58" s="256"/>
      <c r="EZ58" s="256"/>
      <c r="FA58" s="256"/>
      <c r="FB58" s="256"/>
      <c r="FC58" s="256"/>
      <c r="FD58" s="256"/>
      <c r="FE58" s="256"/>
      <c r="FF58" s="256"/>
      <c r="FG58" s="256"/>
      <c r="FH58" s="256"/>
      <c r="FI58" s="256"/>
      <c r="FJ58" s="256"/>
      <c r="FK58" s="256"/>
      <c r="FL58" s="256"/>
      <c r="FM58" s="256"/>
      <c r="FN58" s="256"/>
      <c r="FO58" s="256"/>
      <c r="FP58" s="256"/>
      <c r="FQ58" s="256"/>
      <c r="FR58" s="256"/>
      <c r="FS58" s="256"/>
      <c r="FT58" s="256"/>
      <c r="FU58" s="256"/>
      <c r="FV58" s="256"/>
      <c r="FW58" s="256"/>
      <c r="FX58" s="256"/>
      <c r="FY58" s="256"/>
      <c r="FZ58" s="256"/>
      <c r="GA58" s="256"/>
      <c r="GB58" s="256"/>
      <c r="GC58" s="256"/>
      <c r="GD58" s="256"/>
      <c r="GE58" s="256"/>
      <c r="GF58" s="256"/>
      <c r="GG58" s="256"/>
      <c r="GH58" s="256"/>
      <c r="GI58" s="256"/>
      <c r="GJ58" s="256"/>
      <c r="GK58" s="256"/>
      <c r="GL58" s="256"/>
      <c r="GM58" s="256"/>
      <c r="GN58" s="256"/>
      <c r="GO58" s="256"/>
      <c r="GP58" s="256"/>
      <c r="GQ58" s="256"/>
      <c r="GR58" s="256"/>
      <c r="GS58" s="256"/>
      <c r="GT58" s="256"/>
      <c r="GU58" s="256"/>
      <c r="GV58" s="256"/>
      <c r="GW58" s="256"/>
      <c r="GX58" s="256"/>
      <c r="GY58" s="256"/>
      <c r="GZ58" s="256"/>
      <c r="HA58" s="256"/>
      <c r="HB58" s="256"/>
      <c r="HC58" s="256"/>
      <c r="HD58" s="256"/>
      <c r="HE58" s="256"/>
      <c r="HF58" s="256"/>
      <c r="HG58" s="256"/>
      <c r="HH58" s="256"/>
      <c r="HI58" s="256"/>
      <c r="HJ58" s="256"/>
      <c r="HK58" s="256"/>
      <c r="HL58" s="256"/>
      <c r="HM58" s="256"/>
      <c r="HN58" s="256"/>
      <c r="HO58" s="256"/>
      <c r="HP58" s="256"/>
      <c r="HQ58" s="256"/>
      <c r="HR58" s="256"/>
      <c r="HS58" s="256"/>
      <c r="HT58" s="256"/>
      <c r="HU58" s="256"/>
      <c r="HV58" s="256"/>
      <c r="HW58" s="256"/>
      <c r="HX58" s="256"/>
      <c r="HY58" s="256"/>
      <c r="HZ58" s="256"/>
      <c r="IA58" s="256"/>
      <c r="IB58" s="256"/>
      <c r="IC58" s="256"/>
      <c r="ID58" s="256"/>
      <c r="IE58" s="256"/>
      <c r="IF58" s="256"/>
      <c r="IG58" s="256"/>
      <c r="IH58" s="256"/>
      <c r="II58" s="256"/>
      <c r="IJ58" s="256"/>
      <c r="IK58" s="256"/>
      <c r="IL58" s="256"/>
      <c r="IM58" s="256"/>
      <c r="IN58" s="256"/>
      <c r="IO58" s="256"/>
      <c r="IP58" s="256"/>
      <c r="IQ58" s="256"/>
      <c r="IR58" s="256"/>
      <c r="IS58" s="256"/>
      <c r="IT58" s="256"/>
      <c r="IU58" s="256"/>
      <c r="IV58" s="256"/>
      <c r="IW58" s="256"/>
      <c r="IX58" s="256"/>
      <c r="IY58" s="256"/>
      <c r="IZ58" s="256"/>
      <c r="JA58" s="256"/>
      <c r="JB58" s="256"/>
      <c r="JC58" s="256"/>
      <c r="JD58" s="256"/>
      <c r="JE58" s="256"/>
      <c r="JF58" s="256"/>
      <c r="JG58" s="256"/>
      <c r="JH58" s="256"/>
      <c r="JI58" s="256"/>
      <c r="JJ58" s="256"/>
      <c r="JK58" s="256"/>
      <c r="JL58" s="256"/>
      <c r="JM58" s="256"/>
      <c r="JN58" s="256"/>
      <c r="JO58" s="256"/>
      <c r="JP58" s="256"/>
      <c r="JQ58" s="256"/>
      <c r="JR58" s="256"/>
      <c r="JS58" s="256"/>
      <c r="JT58" s="256"/>
      <c r="JU58" s="256"/>
      <c r="JV58" s="256"/>
      <c r="JW58" s="256"/>
      <c r="JX58" s="256"/>
      <c r="JY58" s="256"/>
      <c r="JZ58" s="256"/>
      <c r="KA58" s="256"/>
      <c r="KB58" s="256"/>
      <c r="KC58" s="256"/>
      <c r="KD58" s="256"/>
      <c r="KE58" s="256"/>
      <c r="KF58" s="256"/>
      <c r="KG58" s="256"/>
      <c r="KH58" s="256"/>
      <c r="KI58" s="256"/>
      <c r="KJ58" s="256"/>
      <c r="KK58" s="256"/>
      <c r="KL58" s="256"/>
      <c r="KM58" s="256"/>
      <c r="KN58" s="256"/>
      <c r="KO58" s="256"/>
      <c r="KP58" s="256"/>
      <c r="KQ58" s="256"/>
      <c r="KR58" s="256"/>
      <c r="KS58" s="256"/>
      <c r="KT58" s="256"/>
      <c r="KU58" s="256"/>
      <c r="KV58" s="256"/>
      <c r="KW58" s="256"/>
      <c r="KX58" s="256"/>
      <c r="KY58" s="256"/>
      <c r="KZ58" s="256"/>
      <c r="LA58" s="256"/>
      <c r="LB58" s="256"/>
      <c r="LC58" s="256"/>
      <c r="LD58" s="256"/>
      <c r="LE58" s="256"/>
      <c r="LF58" s="256"/>
      <c r="LG58" s="256"/>
      <c r="LH58" s="256"/>
      <c r="LI58" s="256"/>
      <c r="LJ58" s="256"/>
      <c r="LK58" s="256"/>
      <c r="LL58" s="256"/>
      <c r="LM58" s="256"/>
      <c r="LN58" s="256"/>
      <c r="LO58" s="256"/>
      <c r="LP58" s="256"/>
      <c r="LQ58" s="256"/>
      <c r="LR58" s="256"/>
      <c r="LS58" s="256"/>
      <c r="LT58" s="256"/>
      <c r="LU58" s="256"/>
      <c r="LV58" s="256"/>
      <c r="LW58" s="256"/>
      <c r="LX58" s="256"/>
      <c r="LY58" s="256"/>
      <c r="LZ58" s="256"/>
      <c r="MA58" s="256"/>
      <c r="MB58" s="256"/>
      <c r="MC58" s="256"/>
      <c r="MD58" s="256"/>
      <c r="ME58" s="256"/>
      <c r="MF58" s="256"/>
      <c r="MG58" s="256"/>
      <c r="MH58" s="256"/>
      <c r="MI58" s="256"/>
      <c r="MJ58" s="256"/>
      <c r="MK58" s="256"/>
      <c r="ML58" s="256"/>
      <c r="MM58" s="256"/>
      <c r="MN58" s="256"/>
      <c r="MO58" s="256"/>
      <c r="MP58" s="256"/>
      <c r="MQ58" s="256"/>
      <c r="MR58" s="256"/>
      <c r="MS58" s="256"/>
      <c r="MT58" s="256"/>
      <c r="MU58" s="256"/>
      <c r="MV58" s="256"/>
      <c r="MW58" s="256"/>
      <c r="MX58" s="256"/>
      <c r="MY58" s="256"/>
      <c r="MZ58" s="256"/>
      <c r="NA58" s="256"/>
      <c r="NB58" s="256"/>
      <c r="NC58" s="256"/>
      <c r="ND58" s="256"/>
      <c r="NE58" s="256"/>
      <c r="NF58" s="256"/>
      <c r="NG58" s="256"/>
      <c r="NH58" s="256"/>
      <c r="NI58" s="256"/>
      <c r="NJ58" s="256"/>
      <c r="NK58" s="256"/>
      <c r="NL58" s="256"/>
      <c r="NM58" s="256"/>
      <c r="NN58" s="256"/>
      <c r="NO58" s="256"/>
      <c r="NP58" s="256"/>
      <c r="NQ58" s="256"/>
      <c r="NR58" s="256"/>
      <c r="NS58" s="256"/>
      <c r="NT58" s="256"/>
      <c r="NU58" s="256"/>
      <c r="NV58" s="256"/>
      <c r="NW58" s="256"/>
      <c r="NX58" s="256"/>
      <c r="NY58" s="256"/>
      <c r="NZ58" s="256"/>
      <c r="OA58" s="256"/>
      <c r="OB58" s="256"/>
      <c r="OC58" s="256"/>
      <c r="OD58" s="256"/>
      <c r="OE58" s="256"/>
      <c r="OF58" s="256"/>
      <c r="OG58" s="256"/>
      <c r="OH58" s="256"/>
      <c r="OI58" s="256"/>
      <c r="OJ58" s="256"/>
      <c r="OK58" s="256"/>
      <c r="OL58" s="256"/>
      <c r="OM58" s="256"/>
      <c r="ON58" s="256"/>
      <c r="OO58" s="256"/>
      <c r="OP58" s="256"/>
      <c r="OQ58" s="256"/>
      <c r="OR58" s="256"/>
      <c r="OS58" s="256"/>
      <c r="OT58" s="256"/>
      <c r="OU58" s="256"/>
      <c r="OV58" s="256"/>
      <c r="OW58" s="256"/>
      <c r="OX58" s="256"/>
      <c r="OY58" s="256"/>
      <c r="OZ58" s="256"/>
      <c r="PA58" s="256"/>
      <c r="PB58" s="256"/>
      <c r="PC58" s="256"/>
      <c r="PD58" s="256"/>
      <c r="PE58" s="256"/>
      <c r="PF58" s="256"/>
      <c r="PG58" s="256"/>
      <c r="PH58" s="256"/>
      <c r="PI58" s="256"/>
      <c r="PJ58" s="256"/>
      <c r="PK58" s="256"/>
      <c r="PL58" s="256"/>
      <c r="PM58" s="256"/>
      <c r="PN58" s="256"/>
      <c r="PO58" s="256"/>
      <c r="PP58" s="256"/>
      <c r="PQ58" s="256"/>
      <c r="PR58" s="256"/>
      <c r="PS58" s="256"/>
      <c r="PT58" s="256"/>
      <c r="PU58" s="256"/>
      <c r="PV58" s="256"/>
      <c r="PW58" s="256"/>
      <c r="PX58" s="256"/>
      <c r="PY58" s="256"/>
      <c r="PZ58" s="256"/>
      <c r="QA58" s="256"/>
      <c r="QB58" s="256"/>
      <c r="QC58" s="256"/>
      <c r="QD58" s="256"/>
      <c r="QE58" s="256"/>
      <c r="QF58" s="256"/>
      <c r="QG58" s="256"/>
      <c r="QH58" s="256"/>
    </row>
    <row r="59" spans="1:450" s="255" customFormat="1" x14ac:dyDescent="0.25">
      <c r="A59" s="249" t="s">
        <v>179</v>
      </c>
      <c r="B59" s="249" t="s">
        <v>243</v>
      </c>
      <c r="C59" s="249" t="s">
        <v>209</v>
      </c>
      <c r="D59" s="250">
        <v>2808</v>
      </c>
      <c r="E59" s="251">
        <v>0.75</v>
      </c>
      <c r="F59" s="250">
        <f>D59*E59</f>
        <v>2106</v>
      </c>
      <c r="G59" s="251">
        <v>0.25</v>
      </c>
      <c r="H59" s="250">
        <f>G59*D59</f>
        <v>702</v>
      </c>
      <c r="I59" s="252"/>
      <c r="J59" s="253">
        <f>F59*12</f>
        <v>25272</v>
      </c>
      <c r="K59" s="254"/>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6"/>
      <c r="CH59" s="256"/>
      <c r="CI59" s="256"/>
      <c r="CJ59" s="256"/>
      <c r="CK59" s="256"/>
      <c r="CL59" s="256"/>
      <c r="CM59" s="256"/>
      <c r="CN59" s="256"/>
      <c r="CO59" s="256"/>
      <c r="CP59" s="256"/>
      <c r="CQ59" s="256"/>
      <c r="CR59" s="256"/>
      <c r="CS59" s="256"/>
      <c r="CT59" s="256"/>
      <c r="CU59" s="256"/>
      <c r="CV59" s="256"/>
      <c r="CW59" s="256"/>
      <c r="CX59" s="256"/>
      <c r="CY59" s="256"/>
      <c r="CZ59" s="256"/>
      <c r="DA59" s="256"/>
      <c r="DB59" s="256"/>
      <c r="DC59" s="256"/>
      <c r="DD59" s="256"/>
      <c r="DE59" s="256"/>
      <c r="DF59" s="256"/>
      <c r="DG59" s="256"/>
      <c r="DH59" s="256"/>
      <c r="DI59" s="256"/>
      <c r="DJ59" s="256"/>
      <c r="DK59" s="256"/>
      <c r="DL59" s="256"/>
      <c r="DM59" s="256"/>
      <c r="DN59" s="256"/>
      <c r="DO59" s="256"/>
      <c r="DP59" s="256"/>
      <c r="DQ59" s="256"/>
      <c r="DR59" s="256"/>
      <c r="DS59" s="256"/>
      <c r="DT59" s="256"/>
      <c r="DU59" s="256"/>
      <c r="DV59" s="256"/>
      <c r="DW59" s="256"/>
      <c r="DX59" s="256"/>
      <c r="DY59" s="256"/>
      <c r="DZ59" s="256"/>
      <c r="EA59" s="256"/>
      <c r="EB59" s="256"/>
      <c r="EC59" s="256"/>
      <c r="ED59" s="256"/>
      <c r="EE59" s="256"/>
      <c r="EF59" s="256"/>
      <c r="EG59" s="256"/>
      <c r="EH59" s="256"/>
      <c r="EI59" s="256"/>
      <c r="EJ59" s="256"/>
      <c r="EK59" s="256"/>
      <c r="EL59" s="256"/>
      <c r="EM59" s="256"/>
      <c r="EN59" s="256"/>
      <c r="EO59" s="256"/>
      <c r="EP59" s="256"/>
      <c r="EQ59" s="256"/>
      <c r="ER59" s="256"/>
      <c r="ES59" s="256"/>
      <c r="ET59" s="256"/>
      <c r="EU59" s="256"/>
      <c r="EV59" s="256"/>
      <c r="EW59" s="256"/>
      <c r="EX59" s="256"/>
      <c r="EY59" s="256"/>
      <c r="EZ59" s="256"/>
      <c r="FA59" s="256"/>
      <c r="FB59" s="256"/>
      <c r="FC59" s="256"/>
      <c r="FD59" s="256"/>
      <c r="FE59" s="256"/>
      <c r="FF59" s="256"/>
      <c r="FG59" s="256"/>
      <c r="FH59" s="256"/>
      <c r="FI59" s="256"/>
      <c r="FJ59" s="256"/>
      <c r="FK59" s="256"/>
      <c r="FL59" s="256"/>
      <c r="FM59" s="256"/>
      <c r="FN59" s="256"/>
      <c r="FO59" s="256"/>
      <c r="FP59" s="256"/>
      <c r="FQ59" s="256"/>
      <c r="FR59" s="256"/>
      <c r="FS59" s="256"/>
      <c r="FT59" s="256"/>
      <c r="FU59" s="256"/>
      <c r="FV59" s="256"/>
      <c r="FW59" s="256"/>
      <c r="FX59" s="256"/>
      <c r="FY59" s="256"/>
      <c r="FZ59" s="256"/>
      <c r="GA59" s="256"/>
      <c r="GB59" s="256"/>
      <c r="GC59" s="256"/>
      <c r="GD59" s="256"/>
      <c r="GE59" s="256"/>
      <c r="GF59" s="256"/>
      <c r="GG59" s="256"/>
      <c r="GH59" s="256"/>
      <c r="GI59" s="256"/>
      <c r="GJ59" s="256"/>
      <c r="GK59" s="256"/>
      <c r="GL59" s="256"/>
      <c r="GM59" s="256"/>
      <c r="GN59" s="256"/>
      <c r="GO59" s="256"/>
      <c r="GP59" s="256"/>
      <c r="GQ59" s="256"/>
      <c r="GR59" s="256"/>
      <c r="GS59" s="256"/>
      <c r="GT59" s="256"/>
      <c r="GU59" s="256"/>
      <c r="GV59" s="256"/>
      <c r="GW59" s="256"/>
      <c r="GX59" s="256"/>
      <c r="GY59" s="256"/>
      <c r="GZ59" s="256"/>
      <c r="HA59" s="256"/>
      <c r="HB59" s="256"/>
      <c r="HC59" s="256"/>
      <c r="HD59" s="256"/>
      <c r="HE59" s="256"/>
      <c r="HF59" s="256"/>
      <c r="HG59" s="256"/>
      <c r="HH59" s="256"/>
      <c r="HI59" s="256"/>
      <c r="HJ59" s="256"/>
      <c r="HK59" s="256"/>
      <c r="HL59" s="256"/>
      <c r="HM59" s="256"/>
      <c r="HN59" s="256"/>
      <c r="HO59" s="256"/>
      <c r="HP59" s="256"/>
      <c r="HQ59" s="256"/>
      <c r="HR59" s="256"/>
      <c r="HS59" s="256"/>
      <c r="HT59" s="256"/>
      <c r="HU59" s="256"/>
      <c r="HV59" s="256"/>
      <c r="HW59" s="256"/>
      <c r="HX59" s="256"/>
      <c r="HY59" s="256"/>
      <c r="HZ59" s="256"/>
      <c r="IA59" s="256"/>
      <c r="IB59" s="256"/>
      <c r="IC59" s="256"/>
      <c r="ID59" s="256"/>
      <c r="IE59" s="256"/>
      <c r="IF59" s="256"/>
      <c r="IG59" s="256"/>
      <c r="IH59" s="256"/>
      <c r="II59" s="256"/>
      <c r="IJ59" s="256"/>
      <c r="IK59" s="256"/>
      <c r="IL59" s="256"/>
      <c r="IM59" s="256"/>
      <c r="IN59" s="256"/>
      <c r="IO59" s="256"/>
      <c r="IP59" s="256"/>
      <c r="IQ59" s="256"/>
      <c r="IR59" s="256"/>
      <c r="IS59" s="256"/>
      <c r="IT59" s="256"/>
      <c r="IU59" s="256"/>
      <c r="IV59" s="256"/>
      <c r="IW59" s="256"/>
      <c r="IX59" s="256"/>
      <c r="IY59" s="256"/>
      <c r="IZ59" s="256"/>
      <c r="JA59" s="256"/>
      <c r="JB59" s="256"/>
      <c r="JC59" s="256"/>
      <c r="JD59" s="256"/>
      <c r="JE59" s="256"/>
      <c r="JF59" s="256"/>
      <c r="JG59" s="256"/>
      <c r="JH59" s="256"/>
      <c r="JI59" s="256"/>
      <c r="JJ59" s="256"/>
      <c r="JK59" s="256"/>
      <c r="JL59" s="256"/>
      <c r="JM59" s="256"/>
      <c r="JN59" s="256"/>
      <c r="JO59" s="256"/>
      <c r="JP59" s="256"/>
      <c r="JQ59" s="256"/>
      <c r="JR59" s="256"/>
      <c r="JS59" s="256"/>
      <c r="JT59" s="256"/>
      <c r="JU59" s="256"/>
      <c r="JV59" s="256"/>
      <c r="JW59" s="256"/>
      <c r="JX59" s="256"/>
      <c r="JY59" s="256"/>
      <c r="JZ59" s="256"/>
      <c r="KA59" s="256"/>
      <c r="KB59" s="256"/>
      <c r="KC59" s="256"/>
      <c r="KD59" s="256"/>
      <c r="KE59" s="256"/>
      <c r="KF59" s="256"/>
      <c r="KG59" s="256"/>
      <c r="KH59" s="256"/>
      <c r="KI59" s="256"/>
      <c r="KJ59" s="256"/>
      <c r="KK59" s="256"/>
      <c r="KL59" s="256"/>
      <c r="KM59" s="256"/>
      <c r="KN59" s="256"/>
      <c r="KO59" s="256"/>
      <c r="KP59" s="256"/>
      <c r="KQ59" s="256"/>
      <c r="KR59" s="256"/>
      <c r="KS59" s="256"/>
      <c r="KT59" s="256"/>
      <c r="KU59" s="256"/>
      <c r="KV59" s="256"/>
      <c r="KW59" s="256"/>
      <c r="KX59" s="256"/>
      <c r="KY59" s="256"/>
      <c r="KZ59" s="256"/>
      <c r="LA59" s="256"/>
      <c r="LB59" s="256"/>
      <c r="LC59" s="256"/>
      <c r="LD59" s="256"/>
      <c r="LE59" s="256"/>
      <c r="LF59" s="256"/>
      <c r="LG59" s="256"/>
      <c r="LH59" s="256"/>
      <c r="LI59" s="256"/>
      <c r="LJ59" s="256"/>
      <c r="LK59" s="256"/>
      <c r="LL59" s="256"/>
      <c r="LM59" s="256"/>
      <c r="LN59" s="256"/>
      <c r="LO59" s="256"/>
      <c r="LP59" s="256"/>
      <c r="LQ59" s="256"/>
      <c r="LR59" s="256"/>
      <c r="LS59" s="256"/>
      <c r="LT59" s="256"/>
      <c r="LU59" s="256"/>
      <c r="LV59" s="256"/>
      <c r="LW59" s="256"/>
      <c r="LX59" s="256"/>
      <c r="LY59" s="256"/>
      <c r="LZ59" s="256"/>
      <c r="MA59" s="256"/>
      <c r="MB59" s="256"/>
      <c r="MC59" s="256"/>
      <c r="MD59" s="256"/>
      <c r="ME59" s="256"/>
      <c r="MF59" s="256"/>
      <c r="MG59" s="256"/>
      <c r="MH59" s="256"/>
      <c r="MI59" s="256"/>
      <c r="MJ59" s="256"/>
      <c r="MK59" s="256"/>
      <c r="ML59" s="256"/>
      <c r="MM59" s="256"/>
      <c r="MN59" s="256"/>
      <c r="MO59" s="256"/>
      <c r="MP59" s="256"/>
      <c r="MQ59" s="256"/>
      <c r="MR59" s="256"/>
      <c r="MS59" s="256"/>
      <c r="MT59" s="256"/>
      <c r="MU59" s="256"/>
      <c r="MV59" s="256"/>
      <c r="MW59" s="256"/>
      <c r="MX59" s="256"/>
      <c r="MY59" s="256"/>
      <c r="MZ59" s="256"/>
      <c r="NA59" s="256"/>
      <c r="NB59" s="256"/>
      <c r="NC59" s="256"/>
      <c r="ND59" s="256"/>
      <c r="NE59" s="256"/>
      <c r="NF59" s="256"/>
      <c r="NG59" s="256"/>
      <c r="NH59" s="256"/>
      <c r="NI59" s="256"/>
      <c r="NJ59" s="256"/>
      <c r="NK59" s="256"/>
      <c r="NL59" s="256"/>
      <c r="NM59" s="256"/>
      <c r="NN59" s="256"/>
      <c r="NO59" s="256"/>
      <c r="NP59" s="256"/>
      <c r="NQ59" s="256"/>
      <c r="NR59" s="256"/>
      <c r="NS59" s="256"/>
      <c r="NT59" s="256"/>
      <c r="NU59" s="256"/>
      <c r="NV59" s="256"/>
      <c r="NW59" s="256"/>
      <c r="NX59" s="256"/>
      <c r="NY59" s="256"/>
      <c r="NZ59" s="256"/>
      <c r="OA59" s="256"/>
      <c r="OB59" s="256"/>
      <c r="OC59" s="256"/>
      <c r="OD59" s="256"/>
      <c r="OE59" s="256"/>
      <c r="OF59" s="256"/>
      <c r="OG59" s="256"/>
      <c r="OH59" s="256"/>
      <c r="OI59" s="256"/>
      <c r="OJ59" s="256"/>
      <c r="OK59" s="256"/>
      <c r="OL59" s="256"/>
      <c r="OM59" s="256"/>
      <c r="ON59" s="256"/>
      <c r="OO59" s="256"/>
      <c r="OP59" s="256"/>
      <c r="OQ59" s="256"/>
      <c r="OR59" s="256"/>
      <c r="OS59" s="256"/>
      <c r="OT59" s="256"/>
      <c r="OU59" s="256"/>
      <c r="OV59" s="256"/>
      <c r="OW59" s="256"/>
      <c r="OX59" s="256"/>
      <c r="OY59" s="256"/>
      <c r="OZ59" s="256"/>
      <c r="PA59" s="256"/>
      <c r="PB59" s="256"/>
      <c r="PC59" s="256"/>
      <c r="PD59" s="256"/>
      <c r="PE59" s="256"/>
      <c r="PF59" s="256"/>
      <c r="PG59" s="256"/>
      <c r="PH59" s="256"/>
      <c r="PI59" s="256"/>
      <c r="PJ59" s="256"/>
      <c r="PK59" s="256"/>
      <c r="PL59" s="256"/>
      <c r="PM59" s="256"/>
      <c r="PN59" s="256"/>
      <c r="PO59" s="256"/>
      <c r="PP59" s="256"/>
      <c r="PQ59" s="256"/>
      <c r="PR59" s="256"/>
      <c r="PS59" s="256"/>
      <c r="PT59" s="256"/>
      <c r="PU59" s="256"/>
      <c r="PV59" s="256"/>
      <c r="PW59" s="256"/>
      <c r="PX59" s="256"/>
      <c r="PY59" s="256"/>
      <c r="PZ59" s="256"/>
      <c r="QA59" s="256"/>
      <c r="QB59" s="256"/>
      <c r="QC59" s="256"/>
      <c r="QD59" s="256"/>
      <c r="QE59" s="256"/>
      <c r="QF59" s="256"/>
      <c r="QG59" s="256"/>
      <c r="QH59" s="256"/>
    </row>
    <row r="60" spans="1:450" s="255" customFormat="1" x14ac:dyDescent="0.25">
      <c r="A60" s="249"/>
      <c r="B60" s="249" t="s">
        <v>244</v>
      </c>
      <c r="C60" s="249" t="s">
        <v>209</v>
      </c>
      <c r="D60" s="250">
        <v>2303</v>
      </c>
      <c r="E60" s="251">
        <v>0.75</v>
      </c>
      <c r="F60" s="250">
        <f>D60*E60</f>
        <v>1727.25</v>
      </c>
      <c r="G60" s="251">
        <v>0.25</v>
      </c>
      <c r="H60" s="250">
        <f>G60*D60</f>
        <v>575.75</v>
      </c>
      <c r="I60" s="252"/>
      <c r="J60" s="253">
        <f>F60*12</f>
        <v>20727</v>
      </c>
      <c r="K60" s="254"/>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256"/>
      <c r="CJ60" s="256"/>
      <c r="CK60" s="256"/>
      <c r="CL60" s="256"/>
      <c r="CM60" s="256"/>
      <c r="CN60" s="256"/>
      <c r="CO60" s="256"/>
      <c r="CP60" s="256"/>
      <c r="CQ60" s="256"/>
      <c r="CR60" s="256"/>
      <c r="CS60" s="256"/>
      <c r="CT60" s="256"/>
      <c r="CU60" s="256"/>
      <c r="CV60" s="256"/>
      <c r="CW60" s="256"/>
      <c r="CX60" s="256"/>
      <c r="CY60" s="256"/>
      <c r="CZ60" s="256"/>
      <c r="DA60" s="256"/>
      <c r="DB60" s="256"/>
      <c r="DC60" s="256"/>
      <c r="DD60" s="256"/>
      <c r="DE60" s="256"/>
      <c r="DF60" s="256"/>
      <c r="DG60" s="256"/>
      <c r="DH60" s="256"/>
      <c r="DI60" s="256"/>
      <c r="DJ60" s="256"/>
      <c r="DK60" s="256"/>
      <c r="DL60" s="256"/>
      <c r="DM60" s="256"/>
      <c r="DN60" s="256"/>
      <c r="DO60" s="256"/>
      <c r="DP60" s="256"/>
      <c r="DQ60" s="256"/>
      <c r="DR60" s="256"/>
      <c r="DS60" s="256"/>
      <c r="DT60" s="256"/>
      <c r="DU60" s="256"/>
      <c r="DV60" s="256"/>
      <c r="DW60" s="256"/>
      <c r="DX60" s="256"/>
      <c r="DY60" s="256"/>
      <c r="DZ60" s="256"/>
      <c r="EA60" s="256"/>
      <c r="EB60" s="256"/>
      <c r="EC60" s="256"/>
      <c r="ED60" s="256"/>
      <c r="EE60" s="256"/>
      <c r="EF60" s="256"/>
      <c r="EG60" s="256"/>
      <c r="EH60" s="256"/>
      <c r="EI60" s="256"/>
      <c r="EJ60" s="256"/>
      <c r="EK60" s="256"/>
      <c r="EL60" s="256"/>
      <c r="EM60" s="256"/>
      <c r="EN60" s="256"/>
      <c r="EO60" s="256"/>
      <c r="EP60" s="256"/>
      <c r="EQ60" s="256"/>
      <c r="ER60" s="256"/>
      <c r="ES60" s="256"/>
      <c r="ET60" s="256"/>
      <c r="EU60" s="256"/>
      <c r="EV60" s="256"/>
      <c r="EW60" s="256"/>
      <c r="EX60" s="256"/>
      <c r="EY60" s="256"/>
      <c r="EZ60" s="256"/>
      <c r="FA60" s="256"/>
      <c r="FB60" s="256"/>
      <c r="FC60" s="256"/>
      <c r="FD60" s="256"/>
      <c r="FE60" s="256"/>
      <c r="FF60" s="256"/>
      <c r="FG60" s="256"/>
      <c r="FH60" s="256"/>
      <c r="FI60" s="256"/>
      <c r="FJ60" s="256"/>
      <c r="FK60" s="256"/>
      <c r="FL60" s="256"/>
      <c r="FM60" s="256"/>
      <c r="FN60" s="256"/>
      <c r="FO60" s="256"/>
      <c r="FP60" s="256"/>
      <c r="FQ60" s="256"/>
      <c r="FR60" s="256"/>
      <c r="FS60" s="256"/>
      <c r="FT60" s="256"/>
      <c r="FU60" s="256"/>
      <c r="FV60" s="256"/>
      <c r="FW60" s="256"/>
      <c r="FX60" s="256"/>
      <c r="FY60" s="256"/>
      <c r="FZ60" s="256"/>
      <c r="GA60" s="256"/>
      <c r="GB60" s="256"/>
      <c r="GC60" s="256"/>
      <c r="GD60" s="256"/>
      <c r="GE60" s="256"/>
      <c r="GF60" s="256"/>
      <c r="GG60" s="256"/>
      <c r="GH60" s="256"/>
      <c r="GI60" s="256"/>
      <c r="GJ60" s="256"/>
      <c r="GK60" s="256"/>
      <c r="GL60" s="256"/>
      <c r="GM60" s="256"/>
      <c r="GN60" s="256"/>
      <c r="GO60" s="256"/>
      <c r="GP60" s="256"/>
      <c r="GQ60" s="256"/>
      <c r="GR60" s="256"/>
      <c r="GS60" s="256"/>
      <c r="GT60" s="256"/>
      <c r="GU60" s="256"/>
      <c r="GV60" s="256"/>
      <c r="GW60" s="256"/>
      <c r="GX60" s="256"/>
      <c r="GY60" s="256"/>
      <c r="GZ60" s="256"/>
      <c r="HA60" s="256"/>
      <c r="HB60" s="256"/>
      <c r="HC60" s="256"/>
      <c r="HD60" s="256"/>
      <c r="HE60" s="256"/>
      <c r="HF60" s="256"/>
      <c r="HG60" s="256"/>
      <c r="HH60" s="256"/>
      <c r="HI60" s="256"/>
      <c r="HJ60" s="256"/>
      <c r="HK60" s="256"/>
      <c r="HL60" s="256"/>
      <c r="HM60" s="256"/>
      <c r="HN60" s="256"/>
      <c r="HO60" s="256"/>
      <c r="HP60" s="256"/>
      <c r="HQ60" s="256"/>
      <c r="HR60" s="256"/>
      <c r="HS60" s="256"/>
      <c r="HT60" s="256"/>
      <c r="HU60" s="256"/>
      <c r="HV60" s="256"/>
      <c r="HW60" s="256"/>
      <c r="HX60" s="256"/>
      <c r="HY60" s="256"/>
      <c r="HZ60" s="256"/>
      <c r="IA60" s="256"/>
      <c r="IB60" s="256"/>
      <c r="IC60" s="256"/>
      <c r="ID60" s="256"/>
      <c r="IE60" s="256"/>
      <c r="IF60" s="256"/>
      <c r="IG60" s="256"/>
      <c r="IH60" s="256"/>
      <c r="II60" s="256"/>
      <c r="IJ60" s="256"/>
      <c r="IK60" s="256"/>
      <c r="IL60" s="256"/>
      <c r="IM60" s="256"/>
      <c r="IN60" s="256"/>
      <c r="IO60" s="256"/>
      <c r="IP60" s="256"/>
      <c r="IQ60" s="256"/>
      <c r="IR60" s="256"/>
      <c r="IS60" s="256"/>
      <c r="IT60" s="256"/>
      <c r="IU60" s="256"/>
      <c r="IV60" s="256"/>
      <c r="IW60" s="256"/>
      <c r="IX60" s="256"/>
      <c r="IY60" s="256"/>
      <c r="IZ60" s="256"/>
      <c r="JA60" s="256"/>
      <c r="JB60" s="256"/>
      <c r="JC60" s="256"/>
      <c r="JD60" s="256"/>
      <c r="JE60" s="256"/>
      <c r="JF60" s="256"/>
      <c r="JG60" s="256"/>
      <c r="JH60" s="256"/>
      <c r="JI60" s="256"/>
      <c r="JJ60" s="256"/>
      <c r="JK60" s="256"/>
      <c r="JL60" s="256"/>
      <c r="JM60" s="256"/>
      <c r="JN60" s="256"/>
      <c r="JO60" s="256"/>
      <c r="JP60" s="256"/>
      <c r="JQ60" s="256"/>
      <c r="JR60" s="256"/>
      <c r="JS60" s="256"/>
      <c r="JT60" s="256"/>
      <c r="JU60" s="256"/>
      <c r="JV60" s="256"/>
      <c r="JW60" s="256"/>
      <c r="JX60" s="256"/>
      <c r="JY60" s="256"/>
      <c r="JZ60" s="256"/>
      <c r="KA60" s="256"/>
      <c r="KB60" s="256"/>
      <c r="KC60" s="256"/>
      <c r="KD60" s="256"/>
      <c r="KE60" s="256"/>
      <c r="KF60" s="256"/>
      <c r="KG60" s="256"/>
      <c r="KH60" s="256"/>
      <c r="KI60" s="256"/>
      <c r="KJ60" s="256"/>
      <c r="KK60" s="256"/>
      <c r="KL60" s="256"/>
      <c r="KM60" s="256"/>
      <c r="KN60" s="256"/>
      <c r="KO60" s="256"/>
      <c r="KP60" s="256"/>
      <c r="KQ60" s="256"/>
      <c r="KR60" s="256"/>
      <c r="KS60" s="256"/>
      <c r="KT60" s="256"/>
      <c r="KU60" s="256"/>
      <c r="KV60" s="256"/>
      <c r="KW60" s="256"/>
      <c r="KX60" s="256"/>
      <c r="KY60" s="256"/>
      <c r="KZ60" s="256"/>
      <c r="LA60" s="256"/>
      <c r="LB60" s="256"/>
      <c r="LC60" s="256"/>
      <c r="LD60" s="256"/>
      <c r="LE60" s="256"/>
      <c r="LF60" s="256"/>
      <c r="LG60" s="256"/>
      <c r="LH60" s="256"/>
      <c r="LI60" s="256"/>
      <c r="LJ60" s="256"/>
      <c r="LK60" s="256"/>
      <c r="LL60" s="256"/>
      <c r="LM60" s="256"/>
      <c r="LN60" s="256"/>
      <c r="LO60" s="256"/>
      <c r="LP60" s="256"/>
      <c r="LQ60" s="256"/>
      <c r="LR60" s="256"/>
      <c r="LS60" s="256"/>
      <c r="LT60" s="256"/>
      <c r="LU60" s="256"/>
      <c r="LV60" s="256"/>
      <c r="LW60" s="256"/>
      <c r="LX60" s="256"/>
      <c r="LY60" s="256"/>
      <c r="LZ60" s="256"/>
      <c r="MA60" s="256"/>
      <c r="MB60" s="256"/>
      <c r="MC60" s="256"/>
      <c r="MD60" s="256"/>
      <c r="ME60" s="256"/>
      <c r="MF60" s="256"/>
      <c r="MG60" s="256"/>
      <c r="MH60" s="256"/>
      <c r="MI60" s="256"/>
      <c r="MJ60" s="256"/>
      <c r="MK60" s="256"/>
      <c r="ML60" s="256"/>
      <c r="MM60" s="256"/>
      <c r="MN60" s="256"/>
      <c r="MO60" s="256"/>
      <c r="MP60" s="256"/>
      <c r="MQ60" s="256"/>
      <c r="MR60" s="256"/>
      <c r="MS60" s="256"/>
      <c r="MT60" s="256"/>
      <c r="MU60" s="256"/>
      <c r="MV60" s="256"/>
      <c r="MW60" s="256"/>
      <c r="MX60" s="256"/>
      <c r="MY60" s="256"/>
      <c r="MZ60" s="256"/>
      <c r="NA60" s="256"/>
      <c r="NB60" s="256"/>
      <c r="NC60" s="256"/>
      <c r="ND60" s="256"/>
      <c r="NE60" s="256"/>
      <c r="NF60" s="256"/>
      <c r="NG60" s="256"/>
      <c r="NH60" s="256"/>
      <c r="NI60" s="256"/>
      <c r="NJ60" s="256"/>
      <c r="NK60" s="256"/>
      <c r="NL60" s="256"/>
      <c r="NM60" s="256"/>
      <c r="NN60" s="256"/>
      <c r="NO60" s="256"/>
      <c r="NP60" s="256"/>
      <c r="NQ60" s="256"/>
      <c r="NR60" s="256"/>
      <c r="NS60" s="256"/>
      <c r="NT60" s="256"/>
      <c r="NU60" s="256"/>
      <c r="NV60" s="256"/>
      <c r="NW60" s="256"/>
      <c r="NX60" s="256"/>
      <c r="NY60" s="256"/>
      <c r="NZ60" s="256"/>
      <c r="OA60" s="256"/>
      <c r="OB60" s="256"/>
      <c r="OC60" s="256"/>
      <c r="OD60" s="256"/>
      <c r="OE60" s="256"/>
      <c r="OF60" s="256"/>
      <c r="OG60" s="256"/>
      <c r="OH60" s="256"/>
      <c r="OI60" s="256"/>
      <c r="OJ60" s="256"/>
      <c r="OK60" s="256"/>
      <c r="OL60" s="256"/>
      <c r="OM60" s="256"/>
      <c r="ON60" s="256"/>
      <c r="OO60" s="256"/>
      <c r="OP60" s="256"/>
      <c r="OQ60" s="256"/>
      <c r="OR60" s="256"/>
      <c r="OS60" s="256"/>
      <c r="OT60" s="256"/>
      <c r="OU60" s="256"/>
      <c r="OV60" s="256"/>
      <c r="OW60" s="256"/>
      <c r="OX60" s="256"/>
      <c r="OY60" s="256"/>
      <c r="OZ60" s="256"/>
      <c r="PA60" s="256"/>
      <c r="PB60" s="256"/>
      <c r="PC60" s="256"/>
      <c r="PD60" s="256"/>
      <c r="PE60" s="256"/>
      <c r="PF60" s="256"/>
      <c r="PG60" s="256"/>
      <c r="PH60" s="256"/>
      <c r="PI60" s="256"/>
      <c r="PJ60" s="256"/>
      <c r="PK60" s="256"/>
      <c r="PL60" s="256"/>
      <c r="PM60" s="256"/>
      <c r="PN60" s="256"/>
      <c r="PO60" s="256"/>
      <c r="PP60" s="256"/>
      <c r="PQ60" s="256"/>
      <c r="PR60" s="256"/>
      <c r="PS60" s="256"/>
      <c r="PT60" s="256"/>
      <c r="PU60" s="256"/>
      <c r="PV60" s="256"/>
      <c r="PW60" s="256"/>
      <c r="PX60" s="256"/>
      <c r="PY60" s="256"/>
      <c r="PZ60" s="256"/>
      <c r="QA60" s="256"/>
      <c r="QB60" s="256"/>
      <c r="QC60" s="256"/>
      <c r="QD60" s="256"/>
      <c r="QE60" s="256"/>
      <c r="QF60" s="256"/>
      <c r="QG60" s="256"/>
      <c r="QH60" s="256"/>
    </row>
    <row r="61" spans="1:450" s="255" customFormat="1" x14ac:dyDescent="0.25">
      <c r="A61" s="249" t="s">
        <v>179</v>
      </c>
      <c r="B61" s="249" t="s">
        <v>246</v>
      </c>
      <c r="C61" s="249" t="s">
        <v>209</v>
      </c>
      <c r="D61" s="250">
        <v>2808</v>
      </c>
      <c r="E61" s="251">
        <v>0.75</v>
      </c>
      <c r="F61" s="250">
        <f>D61*E61</f>
        <v>2106</v>
      </c>
      <c r="G61" s="251">
        <v>0.25</v>
      </c>
      <c r="H61" s="250">
        <f>G61*D61</f>
        <v>702</v>
      </c>
      <c r="I61" s="252"/>
      <c r="J61" s="253">
        <f>F61*12</f>
        <v>25272</v>
      </c>
      <c r="K61" s="254"/>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256"/>
      <c r="CJ61" s="256"/>
      <c r="CK61" s="256"/>
      <c r="CL61" s="256"/>
      <c r="CM61" s="256"/>
      <c r="CN61" s="256"/>
      <c r="CO61" s="256"/>
      <c r="CP61" s="256"/>
      <c r="CQ61" s="256"/>
      <c r="CR61" s="256"/>
      <c r="CS61" s="256"/>
      <c r="CT61" s="256"/>
      <c r="CU61" s="256"/>
      <c r="CV61" s="256"/>
      <c r="CW61" s="256"/>
      <c r="CX61" s="256"/>
      <c r="CY61" s="256"/>
      <c r="CZ61" s="256"/>
      <c r="DA61" s="256"/>
      <c r="DB61" s="256"/>
      <c r="DC61" s="256"/>
      <c r="DD61" s="256"/>
      <c r="DE61" s="256"/>
      <c r="DF61" s="256"/>
      <c r="DG61" s="256"/>
      <c r="DH61" s="256"/>
      <c r="DI61" s="256"/>
      <c r="DJ61" s="256"/>
      <c r="DK61" s="256"/>
      <c r="DL61" s="256"/>
      <c r="DM61" s="256"/>
      <c r="DN61" s="256"/>
      <c r="DO61" s="256"/>
      <c r="DP61" s="256"/>
      <c r="DQ61" s="256"/>
      <c r="DR61" s="256"/>
      <c r="DS61" s="256"/>
      <c r="DT61" s="256"/>
      <c r="DU61" s="256"/>
      <c r="DV61" s="256"/>
      <c r="DW61" s="256"/>
      <c r="DX61" s="256"/>
      <c r="DY61" s="256"/>
      <c r="DZ61" s="256"/>
      <c r="EA61" s="256"/>
      <c r="EB61" s="256"/>
      <c r="EC61" s="256"/>
      <c r="ED61" s="256"/>
      <c r="EE61" s="256"/>
      <c r="EF61" s="256"/>
      <c r="EG61" s="256"/>
      <c r="EH61" s="256"/>
      <c r="EI61" s="256"/>
      <c r="EJ61" s="256"/>
      <c r="EK61" s="256"/>
      <c r="EL61" s="256"/>
      <c r="EM61" s="256"/>
      <c r="EN61" s="256"/>
      <c r="EO61" s="256"/>
      <c r="EP61" s="256"/>
      <c r="EQ61" s="256"/>
      <c r="ER61" s="256"/>
      <c r="ES61" s="256"/>
      <c r="ET61" s="256"/>
      <c r="EU61" s="256"/>
      <c r="EV61" s="256"/>
      <c r="EW61" s="256"/>
      <c r="EX61" s="256"/>
      <c r="EY61" s="256"/>
      <c r="EZ61" s="256"/>
      <c r="FA61" s="256"/>
      <c r="FB61" s="256"/>
      <c r="FC61" s="256"/>
      <c r="FD61" s="256"/>
      <c r="FE61" s="256"/>
      <c r="FF61" s="256"/>
      <c r="FG61" s="256"/>
      <c r="FH61" s="256"/>
      <c r="FI61" s="256"/>
      <c r="FJ61" s="256"/>
      <c r="FK61" s="256"/>
      <c r="FL61" s="256"/>
      <c r="FM61" s="256"/>
      <c r="FN61" s="256"/>
      <c r="FO61" s="256"/>
      <c r="FP61" s="256"/>
      <c r="FQ61" s="256"/>
      <c r="FR61" s="256"/>
      <c r="FS61" s="256"/>
      <c r="FT61" s="256"/>
      <c r="FU61" s="256"/>
      <c r="FV61" s="256"/>
      <c r="FW61" s="256"/>
      <c r="FX61" s="256"/>
      <c r="FY61" s="256"/>
      <c r="FZ61" s="256"/>
      <c r="GA61" s="256"/>
      <c r="GB61" s="256"/>
      <c r="GC61" s="256"/>
      <c r="GD61" s="256"/>
      <c r="GE61" s="256"/>
      <c r="GF61" s="256"/>
      <c r="GG61" s="256"/>
      <c r="GH61" s="256"/>
      <c r="GI61" s="256"/>
      <c r="GJ61" s="256"/>
      <c r="GK61" s="256"/>
      <c r="GL61" s="256"/>
      <c r="GM61" s="256"/>
      <c r="GN61" s="256"/>
      <c r="GO61" s="256"/>
      <c r="GP61" s="256"/>
      <c r="GQ61" s="256"/>
      <c r="GR61" s="256"/>
      <c r="GS61" s="256"/>
      <c r="GT61" s="256"/>
      <c r="GU61" s="256"/>
      <c r="GV61" s="256"/>
      <c r="GW61" s="256"/>
      <c r="GX61" s="256"/>
      <c r="GY61" s="256"/>
      <c r="GZ61" s="256"/>
      <c r="HA61" s="256"/>
      <c r="HB61" s="256"/>
      <c r="HC61" s="256"/>
      <c r="HD61" s="256"/>
      <c r="HE61" s="256"/>
      <c r="HF61" s="256"/>
      <c r="HG61" s="256"/>
      <c r="HH61" s="256"/>
      <c r="HI61" s="256"/>
      <c r="HJ61" s="256"/>
      <c r="HK61" s="256"/>
      <c r="HL61" s="256"/>
      <c r="HM61" s="256"/>
      <c r="HN61" s="256"/>
      <c r="HO61" s="256"/>
      <c r="HP61" s="256"/>
      <c r="HQ61" s="256"/>
      <c r="HR61" s="256"/>
      <c r="HS61" s="256"/>
      <c r="HT61" s="256"/>
      <c r="HU61" s="256"/>
      <c r="HV61" s="256"/>
      <c r="HW61" s="256"/>
      <c r="HX61" s="256"/>
      <c r="HY61" s="256"/>
      <c r="HZ61" s="256"/>
      <c r="IA61" s="256"/>
      <c r="IB61" s="256"/>
      <c r="IC61" s="256"/>
      <c r="ID61" s="256"/>
      <c r="IE61" s="256"/>
      <c r="IF61" s="256"/>
      <c r="IG61" s="256"/>
      <c r="IH61" s="256"/>
      <c r="II61" s="256"/>
      <c r="IJ61" s="256"/>
      <c r="IK61" s="256"/>
      <c r="IL61" s="256"/>
      <c r="IM61" s="256"/>
      <c r="IN61" s="256"/>
      <c r="IO61" s="256"/>
      <c r="IP61" s="256"/>
      <c r="IQ61" s="256"/>
      <c r="IR61" s="256"/>
      <c r="IS61" s="256"/>
      <c r="IT61" s="256"/>
      <c r="IU61" s="256"/>
      <c r="IV61" s="256"/>
      <c r="IW61" s="256"/>
      <c r="IX61" s="256"/>
      <c r="IY61" s="256"/>
      <c r="IZ61" s="256"/>
      <c r="JA61" s="256"/>
      <c r="JB61" s="256"/>
      <c r="JC61" s="256"/>
      <c r="JD61" s="256"/>
      <c r="JE61" s="256"/>
      <c r="JF61" s="256"/>
      <c r="JG61" s="256"/>
      <c r="JH61" s="256"/>
      <c r="JI61" s="256"/>
      <c r="JJ61" s="256"/>
      <c r="JK61" s="256"/>
      <c r="JL61" s="256"/>
      <c r="JM61" s="256"/>
      <c r="JN61" s="256"/>
      <c r="JO61" s="256"/>
      <c r="JP61" s="256"/>
      <c r="JQ61" s="256"/>
      <c r="JR61" s="256"/>
      <c r="JS61" s="256"/>
      <c r="JT61" s="256"/>
      <c r="JU61" s="256"/>
      <c r="JV61" s="256"/>
      <c r="JW61" s="256"/>
      <c r="JX61" s="256"/>
      <c r="JY61" s="256"/>
      <c r="JZ61" s="256"/>
      <c r="KA61" s="256"/>
      <c r="KB61" s="256"/>
      <c r="KC61" s="256"/>
      <c r="KD61" s="256"/>
      <c r="KE61" s="256"/>
      <c r="KF61" s="256"/>
      <c r="KG61" s="256"/>
      <c r="KH61" s="256"/>
      <c r="KI61" s="256"/>
      <c r="KJ61" s="256"/>
      <c r="KK61" s="256"/>
      <c r="KL61" s="256"/>
      <c r="KM61" s="256"/>
      <c r="KN61" s="256"/>
      <c r="KO61" s="256"/>
      <c r="KP61" s="256"/>
      <c r="KQ61" s="256"/>
      <c r="KR61" s="256"/>
      <c r="KS61" s="256"/>
      <c r="KT61" s="256"/>
      <c r="KU61" s="256"/>
      <c r="KV61" s="256"/>
      <c r="KW61" s="256"/>
      <c r="KX61" s="256"/>
      <c r="KY61" s="256"/>
      <c r="KZ61" s="256"/>
      <c r="LA61" s="256"/>
      <c r="LB61" s="256"/>
      <c r="LC61" s="256"/>
      <c r="LD61" s="256"/>
      <c r="LE61" s="256"/>
      <c r="LF61" s="256"/>
      <c r="LG61" s="256"/>
      <c r="LH61" s="256"/>
      <c r="LI61" s="256"/>
      <c r="LJ61" s="256"/>
      <c r="LK61" s="256"/>
      <c r="LL61" s="256"/>
      <c r="LM61" s="256"/>
      <c r="LN61" s="256"/>
      <c r="LO61" s="256"/>
      <c r="LP61" s="256"/>
      <c r="LQ61" s="256"/>
      <c r="LR61" s="256"/>
      <c r="LS61" s="256"/>
      <c r="LT61" s="256"/>
      <c r="LU61" s="256"/>
      <c r="LV61" s="256"/>
      <c r="LW61" s="256"/>
      <c r="LX61" s="256"/>
      <c r="LY61" s="256"/>
      <c r="LZ61" s="256"/>
      <c r="MA61" s="256"/>
      <c r="MB61" s="256"/>
      <c r="MC61" s="256"/>
      <c r="MD61" s="256"/>
      <c r="ME61" s="256"/>
      <c r="MF61" s="256"/>
      <c r="MG61" s="256"/>
      <c r="MH61" s="256"/>
      <c r="MI61" s="256"/>
      <c r="MJ61" s="256"/>
      <c r="MK61" s="256"/>
      <c r="ML61" s="256"/>
      <c r="MM61" s="256"/>
      <c r="MN61" s="256"/>
      <c r="MO61" s="256"/>
      <c r="MP61" s="256"/>
      <c r="MQ61" s="256"/>
      <c r="MR61" s="256"/>
      <c r="MS61" s="256"/>
      <c r="MT61" s="256"/>
      <c r="MU61" s="256"/>
      <c r="MV61" s="256"/>
      <c r="MW61" s="256"/>
      <c r="MX61" s="256"/>
      <c r="MY61" s="256"/>
      <c r="MZ61" s="256"/>
      <c r="NA61" s="256"/>
      <c r="NB61" s="256"/>
      <c r="NC61" s="256"/>
      <c r="ND61" s="256"/>
      <c r="NE61" s="256"/>
      <c r="NF61" s="256"/>
      <c r="NG61" s="256"/>
      <c r="NH61" s="256"/>
      <c r="NI61" s="256"/>
      <c r="NJ61" s="256"/>
      <c r="NK61" s="256"/>
      <c r="NL61" s="256"/>
      <c r="NM61" s="256"/>
      <c r="NN61" s="256"/>
      <c r="NO61" s="256"/>
      <c r="NP61" s="256"/>
      <c r="NQ61" s="256"/>
      <c r="NR61" s="256"/>
      <c r="NS61" s="256"/>
      <c r="NT61" s="256"/>
      <c r="NU61" s="256"/>
      <c r="NV61" s="256"/>
      <c r="NW61" s="256"/>
      <c r="NX61" s="256"/>
      <c r="NY61" s="256"/>
      <c r="NZ61" s="256"/>
      <c r="OA61" s="256"/>
      <c r="OB61" s="256"/>
      <c r="OC61" s="256"/>
      <c r="OD61" s="256"/>
      <c r="OE61" s="256"/>
      <c r="OF61" s="256"/>
      <c r="OG61" s="256"/>
      <c r="OH61" s="256"/>
      <c r="OI61" s="256"/>
      <c r="OJ61" s="256"/>
      <c r="OK61" s="256"/>
      <c r="OL61" s="256"/>
      <c r="OM61" s="256"/>
      <c r="ON61" s="256"/>
      <c r="OO61" s="256"/>
      <c r="OP61" s="256"/>
      <c r="OQ61" s="256"/>
      <c r="OR61" s="256"/>
      <c r="OS61" s="256"/>
      <c r="OT61" s="256"/>
      <c r="OU61" s="256"/>
      <c r="OV61" s="256"/>
      <c r="OW61" s="256"/>
      <c r="OX61" s="256"/>
      <c r="OY61" s="256"/>
      <c r="OZ61" s="256"/>
      <c r="PA61" s="256"/>
      <c r="PB61" s="256"/>
      <c r="PC61" s="256"/>
      <c r="PD61" s="256"/>
      <c r="PE61" s="256"/>
      <c r="PF61" s="256"/>
      <c r="PG61" s="256"/>
      <c r="PH61" s="256"/>
      <c r="PI61" s="256"/>
      <c r="PJ61" s="256"/>
      <c r="PK61" s="256"/>
      <c r="PL61" s="256"/>
      <c r="PM61" s="256"/>
      <c r="PN61" s="256"/>
      <c r="PO61" s="256"/>
      <c r="PP61" s="256"/>
      <c r="PQ61" s="256"/>
      <c r="PR61" s="256"/>
      <c r="PS61" s="256"/>
      <c r="PT61" s="256"/>
      <c r="PU61" s="256"/>
      <c r="PV61" s="256"/>
      <c r="PW61" s="256"/>
      <c r="PX61" s="256"/>
      <c r="PY61" s="256"/>
      <c r="PZ61" s="256"/>
      <c r="QA61" s="256"/>
      <c r="QB61" s="256"/>
      <c r="QC61" s="256"/>
      <c r="QD61" s="256"/>
      <c r="QE61" s="256"/>
      <c r="QF61" s="256"/>
      <c r="QG61" s="256"/>
      <c r="QH61" s="256"/>
    </row>
    <row r="62" spans="1:450" s="255" customFormat="1" x14ac:dyDescent="0.25">
      <c r="A62" s="249"/>
      <c r="B62" s="249" t="s">
        <v>247</v>
      </c>
      <c r="C62" s="249" t="s">
        <v>209</v>
      </c>
      <c r="D62" s="250">
        <v>2808</v>
      </c>
      <c r="E62" s="251">
        <v>0.75</v>
      </c>
      <c r="F62" s="250">
        <f>D62*E62</f>
        <v>2106</v>
      </c>
      <c r="G62" s="251">
        <v>0.25</v>
      </c>
      <c r="H62" s="250">
        <f>G62*D62</f>
        <v>702</v>
      </c>
      <c r="I62" s="252"/>
      <c r="J62" s="253">
        <f>F62*12</f>
        <v>25272</v>
      </c>
      <c r="K62" s="254">
        <f>SUM(J58:J62)</f>
        <v>106632</v>
      </c>
      <c r="L62" s="254">
        <f>K62</f>
        <v>106632</v>
      </c>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c r="CE62" s="256"/>
      <c r="CF62" s="256"/>
      <c r="CG62" s="256"/>
      <c r="CH62" s="256"/>
      <c r="CI62" s="256"/>
      <c r="CJ62" s="256"/>
      <c r="CK62" s="256"/>
      <c r="CL62" s="256"/>
      <c r="CM62" s="256"/>
      <c r="CN62" s="256"/>
      <c r="CO62" s="256"/>
      <c r="CP62" s="256"/>
      <c r="CQ62" s="256"/>
      <c r="CR62" s="256"/>
      <c r="CS62" s="256"/>
      <c r="CT62" s="256"/>
      <c r="CU62" s="256"/>
      <c r="CV62" s="256"/>
      <c r="CW62" s="256"/>
      <c r="CX62" s="256"/>
      <c r="CY62" s="256"/>
      <c r="CZ62" s="256"/>
      <c r="DA62" s="256"/>
      <c r="DB62" s="256"/>
      <c r="DC62" s="256"/>
      <c r="DD62" s="256"/>
      <c r="DE62" s="256"/>
      <c r="DF62" s="256"/>
      <c r="DG62" s="256"/>
      <c r="DH62" s="256"/>
      <c r="DI62" s="256"/>
      <c r="DJ62" s="256"/>
      <c r="DK62" s="256"/>
      <c r="DL62" s="256"/>
      <c r="DM62" s="256"/>
      <c r="DN62" s="256"/>
      <c r="DO62" s="256"/>
      <c r="DP62" s="256"/>
      <c r="DQ62" s="256"/>
      <c r="DR62" s="256"/>
      <c r="DS62" s="256"/>
      <c r="DT62" s="256"/>
      <c r="DU62" s="256"/>
      <c r="DV62" s="256"/>
      <c r="DW62" s="256"/>
      <c r="DX62" s="256"/>
      <c r="DY62" s="256"/>
      <c r="DZ62" s="256"/>
      <c r="EA62" s="256"/>
      <c r="EB62" s="256"/>
      <c r="EC62" s="256"/>
      <c r="ED62" s="256"/>
      <c r="EE62" s="256"/>
      <c r="EF62" s="256"/>
      <c r="EG62" s="256"/>
      <c r="EH62" s="256"/>
      <c r="EI62" s="256"/>
      <c r="EJ62" s="256"/>
      <c r="EK62" s="256"/>
      <c r="EL62" s="256"/>
      <c r="EM62" s="256"/>
      <c r="EN62" s="256"/>
      <c r="EO62" s="256"/>
      <c r="EP62" s="256"/>
      <c r="EQ62" s="256"/>
      <c r="ER62" s="256"/>
      <c r="ES62" s="256"/>
      <c r="ET62" s="256"/>
      <c r="EU62" s="256"/>
      <c r="EV62" s="256"/>
      <c r="EW62" s="256"/>
      <c r="EX62" s="256"/>
      <c r="EY62" s="256"/>
      <c r="EZ62" s="256"/>
      <c r="FA62" s="256"/>
      <c r="FB62" s="256"/>
      <c r="FC62" s="256"/>
      <c r="FD62" s="256"/>
      <c r="FE62" s="256"/>
      <c r="FF62" s="256"/>
      <c r="FG62" s="256"/>
      <c r="FH62" s="256"/>
      <c r="FI62" s="256"/>
      <c r="FJ62" s="256"/>
      <c r="FK62" s="256"/>
      <c r="FL62" s="256"/>
      <c r="FM62" s="256"/>
      <c r="FN62" s="256"/>
      <c r="FO62" s="256"/>
      <c r="FP62" s="256"/>
      <c r="FQ62" s="256"/>
      <c r="FR62" s="256"/>
      <c r="FS62" s="256"/>
      <c r="FT62" s="256"/>
      <c r="FU62" s="256"/>
      <c r="FV62" s="256"/>
      <c r="FW62" s="256"/>
      <c r="FX62" s="256"/>
      <c r="FY62" s="256"/>
      <c r="FZ62" s="256"/>
      <c r="GA62" s="256"/>
      <c r="GB62" s="256"/>
      <c r="GC62" s="256"/>
      <c r="GD62" s="256"/>
      <c r="GE62" s="256"/>
      <c r="GF62" s="256"/>
      <c r="GG62" s="256"/>
      <c r="GH62" s="256"/>
      <c r="GI62" s="256"/>
      <c r="GJ62" s="256"/>
      <c r="GK62" s="256"/>
      <c r="GL62" s="256"/>
      <c r="GM62" s="256"/>
      <c r="GN62" s="256"/>
      <c r="GO62" s="256"/>
      <c r="GP62" s="256"/>
      <c r="GQ62" s="256"/>
      <c r="GR62" s="256"/>
      <c r="GS62" s="256"/>
      <c r="GT62" s="256"/>
      <c r="GU62" s="256"/>
      <c r="GV62" s="256"/>
      <c r="GW62" s="256"/>
      <c r="GX62" s="256"/>
      <c r="GY62" s="256"/>
      <c r="GZ62" s="256"/>
      <c r="HA62" s="256"/>
      <c r="HB62" s="256"/>
      <c r="HC62" s="256"/>
      <c r="HD62" s="256"/>
      <c r="HE62" s="256"/>
      <c r="HF62" s="256"/>
      <c r="HG62" s="256"/>
      <c r="HH62" s="256"/>
      <c r="HI62" s="256"/>
      <c r="HJ62" s="256"/>
      <c r="HK62" s="256"/>
      <c r="HL62" s="256"/>
      <c r="HM62" s="256"/>
      <c r="HN62" s="256"/>
      <c r="HO62" s="256"/>
      <c r="HP62" s="256"/>
      <c r="HQ62" s="256"/>
      <c r="HR62" s="256"/>
      <c r="HS62" s="256"/>
      <c r="HT62" s="256"/>
      <c r="HU62" s="256"/>
      <c r="HV62" s="256"/>
      <c r="HW62" s="256"/>
      <c r="HX62" s="256"/>
      <c r="HY62" s="256"/>
      <c r="HZ62" s="256"/>
      <c r="IA62" s="256"/>
      <c r="IB62" s="256"/>
      <c r="IC62" s="256"/>
      <c r="ID62" s="256"/>
      <c r="IE62" s="256"/>
      <c r="IF62" s="256"/>
      <c r="IG62" s="256"/>
      <c r="IH62" s="256"/>
      <c r="II62" s="256"/>
      <c r="IJ62" s="256"/>
      <c r="IK62" s="256"/>
      <c r="IL62" s="256"/>
      <c r="IM62" s="256"/>
      <c r="IN62" s="256"/>
      <c r="IO62" s="256"/>
      <c r="IP62" s="256"/>
      <c r="IQ62" s="256"/>
      <c r="IR62" s="256"/>
      <c r="IS62" s="256"/>
      <c r="IT62" s="256"/>
      <c r="IU62" s="256"/>
      <c r="IV62" s="256"/>
      <c r="IW62" s="256"/>
      <c r="IX62" s="256"/>
      <c r="IY62" s="256"/>
      <c r="IZ62" s="256"/>
      <c r="JA62" s="256"/>
      <c r="JB62" s="256"/>
      <c r="JC62" s="256"/>
      <c r="JD62" s="256"/>
      <c r="JE62" s="256"/>
      <c r="JF62" s="256"/>
      <c r="JG62" s="256"/>
      <c r="JH62" s="256"/>
      <c r="JI62" s="256"/>
      <c r="JJ62" s="256"/>
      <c r="JK62" s="256"/>
      <c r="JL62" s="256"/>
      <c r="JM62" s="256"/>
      <c r="JN62" s="256"/>
      <c r="JO62" s="256"/>
      <c r="JP62" s="256"/>
      <c r="JQ62" s="256"/>
      <c r="JR62" s="256"/>
      <c r="JS62" s="256"/>
      <c r="JT62" s="256"/>
      <c r="JU62" s="256"/>
      <c r="JV62" s="256"/>
      <c r="JW62" s="256"/>
      <c r="JX62" s="256"/>
      <c r="JY62" s="256"/>
      <c r="JZ62" s="256"/>
      <c r="KA62" s="256"/>
      <c r="KB62" s="256"/>
      <c r="KC62" s="256"/>
      <c r="KD62" s="256"/>
      <c r="KE62" s="256"/>
      <c r="KF62" s="256"/>
      <c r="KG62" s="256"/>
      <c r="KH62" s="256"/>
      <c r="KI62" s="256"/>
      <c r="KJ62" s="256"/>
      <c r="KK62" s="256"/>
      <c r="KL62" s="256"/>
      <c r="KM62" s="256"/>
      <c r="KN62" s="256"/>
      <c r="KO62" s="256"/>
      <c r="KP62" s="256"/>
      <c r="KQ62" s="256"/>
      <c r="KR62" s="256"/>
      <c r="KS62" s="256"/>
      <c r="KT62" s="256"/>
      <c r="KU62" s="256"/>
      <c r="KV62" s="256"/>
      <c r="KW62" s="256"/>
      <c r="KX62" s="256"/>
      <c r="KY62" s="256"/>
      <c r="KZ62" s="256"/>
      <c r="LA62" s="256"/>
      <c r="LB62" s="256"/>
      <c r="LC62" s="256"/>
      <c r="LD62" s="256"/>
      <c r="LE62" s="256"/>
      <c r="LF62" s="256"/>
      <c r="LG62" s="256"/>
      <c r="LH62" s="256"/>
      <c r="LI62" s="256"/>
      <c r="LJ62" s="256"/>
      <c r="LK62" s="256"/>
      <c r="LL62" s="256"/>
      <c r="LM62" s="256"/>
      <c r="LN62" s="256"/>
      <c r="LO62" s="256"/>
      <c r="LP62" s="256"/>
      <c r="LQ62" s="256"/>
      <c r="LR62" s="256"/>
      <c r="LS62" s="256"/>
      <c r="LT62" s="256"/>
      <c r="LU62" s="256"/>
      <c r="LV62" s="256"/>
      <c r="LW62" s="256"/>
      <c r="LX62" s="256"/>
      <c r="LY62" s="256"/>
      <c r="LZ62" s="256"/>
      <c r="MA62" s="256"/>
      <c r="MB62" s="256"/>
      <c r="MC62" s="256"/>
      <c r="MD62" s="256"/>
      <c r="ME62" s="256"/>
      <c r="MF62" s="256"/>
      <c r="MG62" s="256"/>
      <c r="MH62" s="256"/>
      <c r="MI62" s="256"/>
      <c r="MJ62" s="256"/>
      <c r="MK62" s="256"/>
      <c r="ML62" s="256"/>
      <c r="MM62" s="256"/>
      <c r="MN62" s="256"/>
      <c r="MO62" s="256"/>
      <c r="MP62" s="256"/>
      <c r="MQ62" s="256"/>
      <c r="MR62" s="256"/>
      <c r="MS62" s="256"/>
      <c r="MT62" s="256"/>
      <c r="MU62" s="256"/>
      <c r="MV62" s="256"/>
      <c r="MW62" s="256"/>
      <c r="MX62" s="256"/>
      <c r="MY62" s="256"/>
      <c r="MZ62" s="256"/>
      <c r="NA62" s="256"/>
      <c r="NB62" s="256"/>
      <c r="NC62" s="256"/>
      <c r="ND62" s="256"/>
      <c r="NE62" s="256"/>
      <c r="NF62" s="256"/>
      <c r="NG62" s="256"/>
      <c r="NH62" s="256"/>
      <c r="NI62" s="256"/>
      <c r="NJ62" s="256"/>
      <c r="NK62" s="256"/>
      <c r="NL62" s="256"/>
      <c r="NM62" s="256"/>
      <c r="NN62" s="256"/>
      <c r="NO62" s="256"/>
      <c r="NP62" s="256"/>
      <c r="NQ62" s="256"/>
      <c r="NR62" s="256"/>
      <c r="NS62" s="256"/>
      <c r="NT62" s="256"/>
      <c r="NU62" s="256"/>
      <c r="NV62" s="256"/>
      <c r="NW62" s="256"/>
      <c r="NX62" s="256"/>
      <c r="NY62" s="256"/>
      <c r="NZ62" s="256"/>
      <c r="OA62" s="256"/>
      <c r="OB62" s="256"/>
      <c r="OC62" s="256"/>
      <c r="OD62" s="256"/>
      <c r="OE62" s="256"/>
      <c r="OF62" s="256"/>
      <c r="OG62" s="256"/>
      <c r="OH62" s="256"/>
      <c r="OI62" s="256"/>
      <c r="OJ62" s="256"/>
      <c r="OK62" s="256"/>
      <c r="OL62" s="256"/>
      <c r="OM62" s="256"/>
      <c r="ON62" s="256"/>
      <c r="OO62" s="256"/>
      <c r="OP62" s="256"/>
      <c r="OQ62" s="256"/>
      <c r="OR62" s="256"/>
      <c r="OS62" s="256"/>
      <c r="OT62" s="256"/>
      <c r="OU62" s="256"/>
      <c r="OV62" s="256"/>
      <c r="OW62" s="256"/>
      <c r="OX62" s="256"/>
      <c r="OY62" s="256"/>
      <c r="OZ62" s="256"/>
      <c r="PA62" s="256"/>
      <c r="PB62" s="256"/>
      <c r="PC62" s="256"/>
      <c r="PD62" s="256"/>
      <c r="PE62" s="256"/>
      <c r="PF62" s="256"/>
      <c r="PG62" s="256"/>
      <c r="PH62" s="256"/>
      <c r="PI62" s="256"/>
      <c r="PJ62" s="256"/>
      <c r="PK62" s="256"/>
      <c r="PL62" s="256"/>
      <c r="PM62" s="256"/>
      <c r="PN62" s="256"/>
      <c r="PO62" s="256"/>
      <c r="PP62" s="256"/>
      <c r="PQ62" s="256"/>
      <c r="PR62" s="256"/>
      <c r="PS62" s="256"/>
      <c r="PT62" s="256"/>
      <c r="PU62" s="256"/>
      <c r="PV62" s="256"/>
      <c r="PW62" s="256"/>
      <c r="PX62" s="256"/>
      <c r="PY62" s="256"/>
      <c r="PZ62" s="256"/>
      <c r="QA62" s="256"/>
      <c r="QB62" s="256"/>
      <c r="QC62" s="256"/>
      <c r="QD62" s="256"/>
      <c r="QE62" s="256"/>
      <c r="QF62" s="256"/>
      <c r="QG62" s="256"/>
      <c r="QH62" s="256"/>
    </row>
    <row r="63" spans="1:450" s="77" customFormat="1" ht="15.75" thickBot="1" x14ac:dyDescent="0.3">
      <c r="A63" s="90"/>
      <c r="B63" s="90"/>
      <c r="C63" s="90"/>
      <c r="D63" s="99">
        <f>SUM(D58:D62)</f>
        <v>12367</v>
      </c>
      <c r="E63" s="91"/>
      <c r="F63" s="99">
        <f>SUM(F58:F62)</f>
        <v>8886</v>
      </c>
      <c r="G63" s="82"/>
      <c r="H63" s="99">
        <f>SUM(H58:H62)</f>
        <v>3481</v>
      </c>
      <c r="J63" s="172"/>
      <c r="K63" s="172"/>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6"/>
      <c r="CH63" s="256"/>
      <c r="CI63" s="256"/>
      <c r="CJ63" s="256"/>
      <c r="CK63" s="256"/>
      <c r="CL63" s="256"/>
      <c r="CM63" s="256"/>
      <c r="CN63" s="256"/>
      <c r="CO63" s="256"/>
      <c r="CP63" s="256"/>
      <c r="CQ63" s="256"/>
      <c r="CR63" s="256"/>
      <c r="CS63" s="256"/>
      <c r="CT63" s="256"/>
      <c r="CU63" s="256"/>
      <c r="CV63" s="256"/>
      <c r="CW63" s="256"/>
      <c r="CX63" s="256"/>
      <c r="CY63" s="256"/>
      <c r="CZ63" s="256"/>
      <c r="DA63" s="256"/>
      <c r="DB63" s="256"/>
      <c r="DC63" s="256"/>
      <c r="DD63" s="256"/>
      <c r="DE63" s="256"/>
      <c r="DF63" s="256"/>
      <c r="DG63" s="256"/>
      <c r="DH63" s="256"/>
      <c r="DI63" s="256"/>
      <c r="DJ63" s="256"/>
      <c r="DK63" s="256"/>
      <c r="DL63" s="256"/>
      <c r="DM63" s="256"/>
      <c r="DN63" s="256"/>
      <c r="DO63" s="256"/>
      <c r="DP63" s="256"/>
      <c r="DQ63" s="256"/>
      <c r="DR63" s="256"/>
      <c r="DS63" s="256"/>
      <c r="DT63" s="256"/>
      <c r="DU63" s="256"/>
      <c r="DV63" s="256"/>
      <c r="DW63" s="256"/>
      <c r="DX63" s="256"/>
      <c r="DY63" s="256"/>
      <c r="DZ63" s="256"/>
      <c r="EA63" s="256"/>
      <c r="EB63" s="256"/>
      <c r="EC63" s="256"/>
      <c r="ED63" s="256"/>
      <c r="EE63" s="256"/>
      <c r="EF63" s="256"/>
      <c r="EG63" s="256"/>
      <c r="EH63" s="256"/>
      <c r="EI63" s="256"/>
      <c r="EJ63" s="256"/>
      <c r="EK63" s="256"/>
      <c r="EL63" s="256"/>
      <c r="EM63" s="256"/>
      <c r="EN63" s="256"/>
      <c r="EO63" s="256"/>
      <c r="EP63" s="256"/>
      <c r="EQ63" s="256"/>
      <c r="ER63" s="256"/>
      <c r="ES63" s="256"/>
      <c r="ET63" s="256"/>
      <c r="EU63" s="256"/>
      <c r="EV63" s="256"/>
      <c r="EW63" s="256"/>
      <c r="EX63" s="256"/>
      <c r="EY63" s="256"/>
      <c r="EZ63" s="256"/>
      <c r="FA63" s="256"/>
      <c r="FB63" s="256"/>
      <c r="FC63" s="256"/>
      <c r="FD63" s="256"/>
      <c r="FE63" s="256"/>
      <c r="FF63" s="256"/>
      <c r="FG63" s="256"/>
      <c r="FH63" s="256"/>
      <c r="FI63" s="256"/>
      <c r="FJ63" s="256"/>
      <c r="FK63" s="256"/>
      <c r="FL63" s="256"/>
      <c r="FM63" s="256"/>
      <c r="FN63" s="256"/>
      <c r="FO63" s="256"/>
      <c r="FP63" s="256"/>
      <c r="FQ63" s="256"/>
      <c r="FR63" s="256"/>
      <c r="FS63" s="256"/>
      <c r="FT63" s="256"/>
      <c r="FU63" s="256"/>
      <c r="FV63" s="256"/>
      <c r="FW63" s="256"/>
      <c r="FX63" s="256"/>
      <c r="FY63" s="256"/>
      <c r="FZ63" s="256"/>
      <c r="GA63" s="256"/>
      <c r="GB63" s="256"/>
      <c r="GC63" s="256"/>
      <c r="GD63" s="256"/>
      <c r="GE63" s="256"/>
      <c r="GF63" s="256"/>
      <c r="GG63" s="256"/>
      <c r="GH63" s="256"/>
      <c r="GI63" s="256"/>
      <c r="GJ63" s="256"/>
      <c r="GK63" s="256"/>
      <c r="GL63" s="256"/>
      <c r="GM63" s="256"/>
      <c r="GN63" s="256"/>
      <c r="GO63" s="256"/>
      <c r="GP63" s="256"/>
      <c r="GQ63" s="256"/>
      <c r="GR63" s="256"/>
      <c r="GS63" s="256"/>
      <c r="GT63" s="256"/>
      <c r="GU63" s="256"/>
      <c r="GV63" s="256"/>
      <c r="GW63" s="256"/>
      <c r="GX63" s="256"/>
      <c r="GY63" s="256"/>
      <c r="GZ63" s="256"/>
      <c r="HA63" s="256"/>
      <c r="HB63" s="256"/>
      <c r="HC63" s="256"/>
      <c r="HD63" s="256"/>
      <c r="HE63" s="256"/>
      <c r="HF63" s="256"/>
      <c r="HG63" s="256"/>
      <c r="HH63" s="256"/>
      <c r="HI63" s="256"/>
      <c r="HJ63" s="256"/>
      <c r="HK63" s="256"/>
      <c r="HL63" s="256"/>
      <c r="HM63" s="256"/>
      <c r="HN63" s="256"/>
      <c r="HO63" s="256"/>
      <c r="HP63" s="256"/>
      <c r="HQ63" s="256"/>
      <c r="HR63" s="256"/>
      <c r="HS63" s="256"/>
      <c r="HT63" s="256"/>
      <c r="HU63" s="256"/>
      <c r="HV63" s="256"/>
      <c r="HW63" s="256"/>
      <c r="HX63" s="256"/>
      <c r="HY63" s="256"/>
      <c r="HZ63" s="256"/>
      <c r="IA63" s="256"/>
      <c r="IB63" s="256"/>
      <c r="IC63" s="256"/>
      <c r="ID63" s="256"/>
      <c r="IE63" s="256"/>
      <c r="IF63" s="256"/>
      <c r="IG63" s="256"/>
      <c r="IH63" s="256"/>
      <c r="II63" s="256"/>
      <c r="IJ63" s="256"/>
      <c r="IK63" s="256"/>
      <c r="IL63" s="256"/>
      <c r="IM63" s="256"/>
      <c r="IN63" s="256"/>
      <c r="IO63" s="256"/>
      <c r="IP63" s="256"/>
      <c r="IQ63" s="256"/>
      <c r="IR63" s="256"/>
      <c r="IS63" s="256"/>
      <c r="IT63" s="256"/>
      <c r="IU63" s="256"/>
      <c r="IV63" s="256"/>
      <c r="IW63" s="256"/>
      <c r="IX63" s="256"/>
      <c r="IY63" s="256"/>
      <c r="IZ63" s="256"/>
      <c r="JA63" s="256"/>
      <c r="JB63" s="256"/>
      <c r="JC63" s="256"/>
      <c r="JD63" s="256"/>
      <c r="JE63" s="256"/>
      <c r="JF63" s="256"/>
      <c r="JG63" s="256"/>
      <c r="JH63" s="256"/>
      <c r="JI63" s="256"/>
      <c r="JJ63" s="256"/>
      <c r="JK63" s="256"/>
      <c r="JL63" s="256"/>
      <c r="JM63" s="256"/>
      <c r="JN63" s="256"/>
      <c r="JO63" s="256"/>
      <c r="JP63" s="256"/>
      <c r="JQ63" s="256"/>
      <c r="JR63" s="256"/>
      <c r="JS63" s="256"/>
      <c r="JT63" s="256"/>
      <c r="JU63" s="256"/>
      <c r="JV63" s="256"/>
      <c r="JW63" s="256"/>
      <c r="JX63" s="256"/>
      <c r="JY63" s="256"/>
      <c r="JZ63" s="256"/>
      <c r="KA63" s="256"/>
      <c r="KB63" s="256"/>
      <c r="KC63" s="256"/>
      <c r="KD63" s="256"/>
      <c r="KE63" s="256"/>
      <c r="KF63" s="256"/>
      <c r="KG63" s="256"/>
      <c r="KH63" s="256"/>
      <c r="KI63" s="256"/>
      <c r="KJ63" s="256"/>
      <c r="KK63" s="256"/>
      <c r="KL63" s="256"/>
      <c r="KM63" s="256"/>
      <c r="KN63" s="256"/>
      <c r="KO63" s="256"/>
      <c r="KP63" s="256"/>
      <c r="KQ63" s="256"/>
      <c r="KR63" s="256"/>
      <c r="KS63" s="256"/>
      <c r="KT63" s="256"/>
      <c r="KU63" s="256"/>
      <c r="KV63" s="256"/>
      <c r="KW63" s="256"/>
      <c r="KX63" s="256"/>
      <c r="KY63" s="256"/>
      <c r="KZ63" s="256"/>
      <c r="LA63" s="256"/>
      <c r="LB63" s="256"/>
      <c r="LC63" s="256"/>
      <c r="LD63" s="256"/>
      <c r="LE63" s="256"/>
      <c r="LF63" s="256"/>
      <c r="LG63" s="256"/>
      <c r="LH63" s="256"/>
      <c r="LI63" s="256"/>
      <c r="LJ63" s="256"/>
      <c r="LK63" s="256"/>
      <c r="LL63" s="256"/>
      <c r="LM63" s="256"/>
      <c r="LN63" s="256"/>
      <c r="LO63" s="256"/>
      <c r="LP63" s="256"/>
      <c r="LQ63" s="256"/>
      <c r="LR63" s="256"/>
      <c r="LS63" s="256"/>
      <c r="LT63" s="256"/>
      <c r="LU63" s="256"/>
      <c r="LV63" s="256"/>
      <c r="LW63" s="256"/>
      <c r="LX63" s="256"/>
      <c r="LY63" s="256"/>
      <c r="LZ63" s="256"/>
      <c r="MA63" s="256"/>
      <c r="MB63" s="256"/>
      <c r="MC63" s="256"/>
      <c r="MD63" s="256"/>
      <c r="ME63" s="256"/>
      <c r="MF63" s="256"/>
      <c r="MG63" s="256"/>
      <c r="MH63" s="256"/>
      <c r="MI63" s="256"/>
      <c r="MJ63" s="256"/>
      <c r="MK63" s="256"/>
      <c r="ML63" s="256"/>
      <c r="MM63" s="256"/>
      <c r="MN63" s="256"/>
      <c r="MO63" s="256"/>
      <c r="MP63" s="256"/>
      <c r="MQ63" s="256"/>
      <c r="MR63" s="256"/>
      <c r="MS63" s="256"/>
      <c r="MT63" s="256"/>
      <c r="MU63" s="256"/>
      <c r="MV63" s="256"/>
      <c r="MW63" s="256"/>
      <c r="MX63" s="256"/>
      <c r="MY63" s="256"/>
      <c r="MZ63" s="256"/>
      <c r="NA63" s="256"/>
      <c r="NB63" s="256"/>
      <c r="NC63" s="256"/>
      <c r="ND63" s="256"/>
      <c r="NE63" s="256"/>
      <c r="NF63" s="256"/>
      <c r="NG63" s="256"/>
      <c r="NH63" s="256"/>
      <c r="NI63" s="256"/>
      <c r="NJ63" s="256"/>
      <c r="NK63" s="256"/>
      <c r="NL63" s="256"/>
      <c r="NM63" s="256"/>
      <c r="NN63" s="256"/>
      <c r="NO63" s="256"/>
      <c r="NP63" s="256"/>
      <c r="NQ63" s="256"/>
      <c r="NR63" s="256"/>
      <c r="NS63" s="256"/>
      <c r="NT63" s="256"/>
      <c r="NU63" s="256"/>
      <c r="NV63" s="256"/>
      <c r="NW63" s="256"/>
      <c r="NX63" s="256"/>
      <c r="NY63" s="256"/>
      <c r="NZ63" s="256"/>
      <c r="OA63" s="256"/>
      <c r="OB63" s="256"/>
      <c r="OC63" s="256"/>
      <c r="OD63" s="256"/>
      <c r="OE63" s="256"/>
      <c r="OF63" s="256"/>
      <c r="OG63" s="256"/>
      <c r="OH63" s="256"/>
      <c r="OI63" s="256"/>
      <c r="OJ63" s="256"/>
      <c r="OK63" s="256"/>
      <c r="OL63" s="256"/>
      <c r="OM63" s="256"/>
      <c r="ON63" s="256"/>
      <c r="OO63" s="256"/>
      <c r="OP63" s="256"/>
      <c r="OQ63" s="256"/>
      <c r="OR63" s="256"/>
      <c r="OS63" s="256"/>
      <c r="OT63" s="256"/>
      <c r="OU63" s="256"/>
      <c r="OV63" s="256"/>
      <c r="OW63" s="256"/>
      <c r="OX63" s="256"/>
      <c r="OY63" s="256"/>
      <c r="OZ63" s="256"/>
      <c r="PA63" s="256"/>
      <c r="PB63" s="256"/>
      <c r="PC63" s="256"/>
      <c r="PD63" s="256"/>
      <c r="PE63" s="256"/>
      <c r="PF63" s="256"/>
      <c r="PG63" s="256"/>
      <c r="PH63" s="256"/>
      <c r="PI63" s="256"/>
      <c r="PJ63" s="256"/>
      <c r="PK63" s="256"/>
      <c r="PL63" s="256"/>
      <c r="PM63" s="256"/>
      <c r="PN63" s="256"/>
      <c r="PO63" s="256"/>
      <c r="PP63" s="256"/>
      <c r="PQ63" s="256"/>
      <c r="PR63" s="256"/>
      <c r="PS63" s="256"/>
      <c r="PT63" s="256"/>
      <c r="PU63" s="256"/>
      <c r="PV63" s="256"/>
      <c r="PW63" s="256"/>
      <c r="PX63" s="256"/>
      <c r="PY63" s="256"/>
      <c r="PZ63" s="256"/>
      <c r="QA63" s="256"/>
      <c r="QB63" s="256"/>
      <c r="QC63" s="256"/>
      <c r="QD63" s="256"/>
      <c r="QE63" s="256"/>
      <c r="QF63" s="256"/>
      <c r="QG63" s="256"/>
      <c r="QH63" s="256"/>
    </row>
    <row r="64" spans="1:450" s="77" customFormat="1" ht="15.75" thickTop="1" x14ac:dyDescent="0.25">
      <c r="D64" s="93"/>
      <c r="F64" s="93"/>
      <c r="H64" s="93"/>
      <c r="K64" s="171"/>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256"/>
      <c r="BY64" s="256"/>
      <c r="BZ64" s="256"/>
      <c r="CA64" s="256"/>
      <c r="CB64" s="256"/>
      <c r="CC64" s="256"/>
      <c r="CD64" s="256"/>
      <c r="CE64" s="256"/>
      <c r="CF64" s="256"/>
      <c r="CG64" s="256"/>
      <c r="CH64" s="256"/>
      <c r="CI64" s="256"/>
      <c r="CJ64" s="256"/>
      <c r="CK64" s="256"/>
      <c r="CL64" s="256"/>
      <c r="CM64" s="256"/>
      <c r="CN64" s="256"/>
      <c r="CO64" s="256"/>
      <c r="CP64" s="256"/>
      <c r="CQ64" s="256"/>
      <c r="CR64" s="256"/>
      <c r="CS64" s="256"/>
      <c r="CT64" s="256"/>
      <c r="CU64" s="256"/>
      <c r="CV64" s="256"/>
      <c r="CW64" s="256"/>
      <c r="CX64" s="256"/>
      <c r="CY64" s="256"/>
      <c r="CZ64" s="256"/>
      <c r="DA64" s="256"/>
      <c r="DB64" s="256"/>
      <c r="DC64" s="256"/>
      <c r="DD64" s="256"/>
      <c r="DE64" s="256"/>
      <c r="DF64" s="256"/>
      <c r="DG64" s="256"/>
      <c r="DH64" s="256"/>
      <c r="DI64" s="256"/>
      <c r="DJ64" s="256"/>
      <c r="DK64" s="256"/>
      <c r="DL64" s="256"/>
      <c r="DM64" s="256"/>
      <c r="DN64" s="256"/>
      <c r="DO64" s="256"/>
      <c r="DP64" s="256"/>
      <c r="DQ64" s="256"/>
      <c r="DR64" s="256"/>
      <c r="DS64" s="256"/>
      <c r="DT64" s="256"/>
      <c r="DU64" s="256"/>
      <c r="DV64" s="256"/>
      <c r="DW64" s="256"/>
      <c r="DX64" s="256"/>
      <c r="DY64" s="256"/>
      <c r="DZ64" s="256"/>
      <c r="EA64" s="256"/>
      <c r="EB64" s="256"/>
      <c r="EC64" s="256"/>
      <c r="ED64" s="256"/>
      <c r="EE64" s="256"/>
      <c r="EF64" s="256"/>
      <c r="EG64" s="256"/>
      <c r="EH64" s="256"/>
      <c r="EI64" s="256"/>
      <c r="EJ64" s="256"/>
      <c r="EK64" s="256"/>
      <c r="EL64" s="256"/>
      <c r="EM64" s="256"/>
      <c r="EN64" s="256"/>
      <c r="EO64" s="256"/>
      <c r="EP64" s="256"/>
      <c r="EQ64" s="256"/>
      <c r="ER64" s="256"/>
      <c r="ES64" s="256"/>
      <c r="ET64" s="256"/>
      <c r="EU64" s="256"/>
      <c r="EV64" s="256"/>
      <c r="EW64" s="256"/>
      <c r="EX64" s="256"/>
      <c r="EY64" s="256"/>
      <c r="EZ64" s="256"/>
      <c r="FA64" s="256"/>
      <c r="FB64" s="256"/>
      <c r="FC64" s="256"/>
      <c r="FD64" s="256"/>
      <c r="FE64" s="256"/>
      <c r="FF64" s="256"/>
      <c r="FG64" s="256"/>
      <c r="FH64" s="256"/>
      <c r="FI64" s="256"/>
      <c r="FJ64" s="256"/>
      <c r="FK64" s="256"/>
      <c r="FL64" s="256"/>
      <c r="FM64" s="256"/>
      <c r="FN64" s="256"/>
      <c r="FO64" s="256"/>
      <c r="FP64" s="256"/>
      <c r="FQ64" s="256"/>
      <c r="FR64" s="256"/>
      <c r="FS64" s="256"/>
      <c r="FT64" s="256"/>
      <c r="FU64" s="256"/>
      <c r="FV64" s="256"/>
      <c r="FW64" s="256"/>
      <c r="FX64" s="256"/>
      <c r="FY64" s="256"/>
      <c r="FZ64" s="256"/>
      <c r="GA64" s="256"/>
      <c r="GB64" s="256"/>
      <c r="GC64" s="256"/>
      <c r="GD64" s="256"/>
      <c r="GE64" s="256"/>
      <c r="GF64" s="256"/>
      <c r="GG64" s="256"/>
      <c r="GH64" s="256"/>
      <c r="GI64" s="256"/>
      <c r="GJ64" s="256"/>
      <c r="GK64" s="256"/>
      <c r="GL64" s="256"/>
      <c r="GM64" s="256"/>
      <c r="GN64" s="256"/>
      <c r="GO64" s="256"/>
      <c r="GP64" s="256"/>
      <c r="GQ64" s="256"/>
      <c r="GR64" s="256"/>
      <c r="GS64" s="256"/>
      <c r="GT64" s="256"/>
      <c r="GU64" s="256"/>
      <c r="GV64" s="256"/>
      <c r="GW64" s="256"/>
      <c r="GX64" s="256"/>
      <c r="GY64" s="256"/>
      <c r="GZ64" s="256"/>
      <c r="HA64" s="256"/>
      <c r="HB64" s="256"/>
      <c r="HC64" s="256"/>
      <c r="HD64" s="256"/>
      <c r="HE64" s="256"/>
      <c r="HF64" s="256"/>
      <c r="HG64" s="256"/>
      <c r="HH64" s="256"/>
      <c r="HI64" s="256"/>
      <c r="HJ64" s="256"/>
      <c r="HK64" s="256"/>
      <c r="HL64" s="256"/>
      <c r="HM64" s="256"/>
      <c r="HN64" s="256"/>
      <c r="HO64" s="256"/>
      <c r="HP64" s="256"/>
      <c r="HQ64" s="256"/>
      <c r="HR64" s="256"/>
      <c r="HS64" s="256"/>
      <c r="HT64" s="256"/>
      <c r="HU64" s="256"/>
      <c r="HV64" s="256"/>
      <c r="HW64" s="256"/>
      <c r="HX64" s="256"/>
      <c r="HY64" s="256"/>
      <c r="HZ64" s="256"/>
      <c r="IA64" s="256"/>
      <c r="IB64" s="256"/>
      <c r="IC64" s="256"/>
      <c r="ID64" s="256"/>
      <c r="IE64" s="256"/>
      <c r="IF64" s="256"/>
      <c r="IG64" s="256"/>
      <c r="IH64" s="256"/>
      <c r="II64" s="256"/>
      <c r="IJ64" s="256"/>
      <c r="IK64" s="256"/>
      <c r="IL64" s="256"/>
      <c r="IM64" s="256"/>
      <c r="IN64" s="256"/>
      <c r="IO64" s="256"/>
      <c r="IP64" s="256"/>
      <c r="IQ64" s="256"/>
      <c r="IR64" s="256"/>
      <c r="IS64" s="256"/>
      <c r="IT64" s="256"/>
      <c r="IU64" s="256"/>
      <c r="IV64" s="256"/>
      <c r="IW64" s="256"/>
      <c r="IX64" s="256"/>
      <c r="IY64" s="256"/>
      <c r="IZ64" s="256"/>
      <c r="JA64" s="256"/>
      <c r="JB64" s="256"/>
      <c r="JC64" s="256"/>
      <c r="JD64" s="256"/>
      <c r="JE64" s="256"/>
      <c r="JF64" s="256"/>
      <c r="JG64" s="256"/>
      <c r="JH64" s="256"/>
      <c r="JI64" s="256"/>
      <c r="JJ64" s="256"/>
      <c r="JK64" s="256"/>
      <c r="JL64" s="256"/>
      <c r="JM64" s="256"/>
      <c r="JN64" s="256"/>
      <c r="JO64" s="256"/>
      <c r="JP64" s="256"/>
      <c r="JQ64" s="256"/>
      <c r="JR64" s="256"/>
      <c r="JS64" s="256"/>
      <c r="JT64" s="256"/>
      <c r="JU64" s="256"/>
      <c r="JV64" s="256"/>
      <c r="JW64" s="256"/>
      <c r="JX64" s="256"/>
      <c r="JY64" s="256"/>
      <c r="JZ64" s="256"/>
      <c r="KA64" s="256"/>
      <c r="KB64" s="256"/>
      <c r="KC64" s="256"/>
      <c r="KD64" s="256"/>
      <c r="KE64" s="256"/>
      <c r="KF64" s="256"/>
      <c r="KG64" s="256"/>
      <c r="KH64" s="256"/>
      <c r="KI64" s="256"/>
      <c r="KJ64" s="256"/>
      <c r="KK64" s="256"/>
      <c r="KL64" s="256"/>
      <c r="KM64" s="256"/>
      <c r="KN64" s="256"/>
      <c r="KO64" s="256"/>
      <c r="KP64" s="256"/>
      <c r="KQ64" s="256"/>
      <c r="KR64" s="256"/>
      <c r="KS64" s="256"/>
      <c r="KT64" s="256"/>
      <c r="KU64" s="256"/>
      <c r="KV64" s="256"/>
      <c r="KW64" s="256"/>
      <c r="KX64" s="256"/>
      <c r="KY64" s="256"/>
      <c r="KZ64" s="256"/>
      <c r="LA64" s="256"/>
      <c r="LB64" s="256"/>
      <c r="LC64" s="256"/>
      <c r="LD64" s="256"/>
      <c r="LE64" s="256"/>
      <c r="LF64" s="256"/>
      <c r="LG64" s="256"/>
      <c r="LH64" s="256"/>
      <c r="LI64" s="256"/>
      <c r="LJ64" s="256"/>
      <c r="LK64" s="256"/>
      <c r="LL64" s="256"/>
      <c r="LM64" s="256"/>
      <c r="LN64" s="256"/>
      <c r="LO64" s="256"/>
      <c r="LP64" s="256"/>
      <c r="LQ64" s="256"/>
      <c r="LR64" s="256"/>
      <c r="LS64" s="256"/>
      <c r="LT64" s="256"/>
      <c r="LU64" s="256"/>
      <c r="LV64" s="256"/>
      <c r="LW64" s="256"/>
      <c r="LX64" s="256"/>
      <c r="LY64" s="256"/>
      <c r="LZ64" s="256"/>
      <c r="MA64" s="256"/>
      <c r="MB64" s="256"/>
      <c r="MC64" s="256"/>
      <c r="MD64" s="256"/>
      <c r="ME64" s="256"/>
      <c r="MF64" s="256"/>
      <c r="MG64" s="256"/>
      <c r="MH64" s="256"/>
      <c r="MI64" s="256"/>
      <c r="MJ64" s="256"/>
      <c r="MK64" s="256"/>
      <c r="ML64" s="256"/>
      <c r="MM64" s="256"/>
      <c r="MN64" s="256"/>
      <c r="MO64" s="256"/>
      <c r="MP64" s="256"/>
      <c r="MQ64" s="256"/>
      <c r="MR64" s="256"/>
      <c r="MS64" s="256"/>
      <c r="MT64" s="256"/>
      <c r="MU64" s="256"/>
      <c r="MV64" s="256"/>
      <c r="MW64" s="256"/>
      <c r="MX64" s="256"/>
      <c r="MY64" s="256"/>
      <c r="MZ64" s="256"/>
      <c r="NA64" s="256"/>
      <c r="NB64" s="256"/>
      <c r="NC64" s="256"/>
      <c r="ND64" s="256"/>
      <c r="NE64" s="256"/>
      <c r="NF64" s="256"/>
      <c r="NG64" s="256"/>
      <c r="NH64" s="256"/>
      <c r="NI64" s="256"/>
      <c r="NJ64" s="256"/>
      <c r="NK64" s="256"/>
      <c r="NL64" s="256"/>
      <c r="NM64" s="256"/>
      <c r="NN64" s="256"/>
      <c r="NO64" s="256"/>
      <c r="NP64" s="256"/>
      <c r="NQ64" s="256"/>
      <c r="NR64" s="256"/>
      <c r="NS64" s="256"/>
      <c r="NT64" s="256"/>
      <c r="NU64" s="256"/>
      <c r="NV64" s="256"/>
      <c r="NW64" s="256"/>
      <c r="NX64" s="256"/>
      <c r="NY64" s="256"/>
      <c r="NZ64" s="256"/>
      <c r="OA64" s="256"/>
      <c r="OB64" s="256"/>
      <c r="OC64" s="256"/>
      <c r="OD64" s="256"/>
      <c r="OE64" s="256"/>
      <c r="OF64" s="256"/>
      <c r="OG64" s="256"/>
      <c r="OH64" s="256"/>
      <c r="OI64" s="256"/>
      <c r="OJ64" s="256"/>
      <c r="OK64" s="256"/>
      <c r="OL64" s="256"/>
      <c r="OM64" s="256"/>
      <c r="ON64" s="256"/>
      <c r="OO64" s="256"/>
      <c r="OP64" s="256"/>
      <c r="OQ64" s="256"/>
      <c r="OR64" s="256"/>
      <c r="OS64" s="256"/>
      <c r="OT64" s="256"/>
      <c r="OU64" s="256"/>
      <c r="OV64" s="256"/>
      <c r="OW64" s="256"/>
      <c r="OX64" s="256"/>
      <c r="OY64" s="256"/>
      <c r="OZ64" s="256"/>
      <c r="PA64" s="256"/>
      <c r="PB64" s="256"/>
      <c r="PC64" s="256"/>
      <c r="PD64" s="256"/>
      <c r="PE64" s="256"/>
      <c r="PF64" s="256"/>
      <c r="PG64" s="256"/>
      <c r="PH64" s="256"/>
      <c r="PI64" s="256"/>
      <c r="PJ64" s="256"/>
      <c r="PK64" s="256"/>
      <c r="PL64" s="256"/>
      <c r="PM64" s="256"/>
      <c r="PN64" s="256"/>
      <c r="PO64" s="256"/>
      <c r="PP64" s="256"/>
      <c r="PQ64" s="256"/>
      <c r="PR64" s="256"/>
      <c r="PS64" s="256"/>
      <c r="PT64" s="256"/>
      <c r="PU64" s="256"/>
      <c r="PV64" s="256"/>
      <c r="PW64" s="256"/>
      <c r="PX64" s="256"/>
      <c r="PY64" s="256"/>
      <c r="PZ64" s="256"/>
      <c r="QA64" s="256"/>
      <c r="QB64" s="256"/>
      <c r="QC64" s="256"/>
      <c r="QD64" s="256"/>
      <c r="QE64" s="256"/>
      <c r="QF64" s="256"/>
      <c r="QG64" s="256"/>
      <c r="QH64" s="256"/>
    </row>
    <row r="65" spans="1:450" x14ac:dyDescent="0.25">
      <c r="B65" s="77"/>
      <c r="C65" s="286" t="s">
        <v>2015</v>
      </c>
      <c r="D65" s="93">
        <f>D46+D55+D63</f>
        <v>89781</v>
      </c>
      <c r="F65" s="93">
        <f>F46+F55+F63</f>
        <v>65219.25</v>
      </c>
      <c r="H65" s="93">
        <f>H46+H55+H63</f>
        <v>22258.75</v>
      </c>
      <c r="J65" s="296">
        <f>SUM(J46:J62)</f>
        <v>803358</v>
      </c>
      <c r="K65" s="296">
        <f>SUM(K46:K62)</f>
        <v>803358</v>
      </c>
      <c r="L65" s="296">
        <f>SUM(L46:L62)</f>
        <v>803358</v>
      </c>
    </row>
    <row r="66" spans="1:450" s="77" customFormat="1" x14ac:dyDescent="0.25">
      <c r="D66" s="93"/>
      <c r="F66" s="93"/>
      <c r="H66" s="93"/>
      <c r="K66" s="171"/>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6"/>
      <c r="CH66" s="256"/>
      <c r="CI66" s="256"/>
      <c r="CJ66" s="256"/>
      <c r="CK66" s="256"/>
      <c r="CL66" s="256"/>
      <c r="CM66" s="256"/>
      <c r="CN66" s="256"/>
      <c r="CO66" s="256"/>
      <c r="CP66" s="256"/>
      <c r="CQ66" s="256"/>
      <c r="CR66" s="256"/>
      <c r="CS66" s="256"/>
      <c r="CT66" s="256"/>
      <c r="CU66" s="256"/>
      <c r="CV66" s="256"/>
      <c r="CW66" s="256"/>
      <c r="CX66" s="256"/>
      <c r="CY66" s="256"/>
      <c r="CZ66" s="256"/>
      <c r="DA66" s="256"/>
      <c r="DB66" s="256"/>
      <c r="DC66" s="256"/>
      <c r="DD66" s="256"/>
      <c r="DE66" s="256"/>
      <c r="DF66" s="256"/>
      <c r="DG66" s="256"/>
      <c r="DH66" s="256"/>
      <c r="DI66" s="256"/>
      <c r="DJ66" s="256"/>
      <c r="DK66" s="256"/>
      <c r="DL66" s="256"/>
      <c r="DM66" s="256"/>
      <c r="DN66" s="256"/>
      <c r="DO66" s="256"/>
      <c r="DP66" s="256"/>
      <c r="DQ66" s="256"/>
      <c r="DR66" s="256"/>
      <c r="DS66" s="256"/>
      <c r="DT66" s="256"/>
      <c r="DU66" s="256"/>
      <c r="DV66" s="256"/>
      <c r="DW66" s="256"/>
      <c r="DX66" s="256"/>
      <c r="DY66" s="256"/>
      <c r="DZ66" s="256"/>
      <c r="EA66" s="256"/>
      <c r="EB66" s="256"/>
      <c r="EC66" s="256"/>
      <c r="ED66" s="256"/>
      <c r="EE66" s="256"/>
      <c r="EF66" s="256"/>
      <c r="EG66" s="256"/>
      <c r="EH66" s="256"/>
      <c r="EI66" s="256"/>
      <c r="EJ66" s="256"/>
      <c r="EK66" s="256"/>
      <c r="EL66" s="256"/>
      <c r="EM66" s="256"/>
      <c r="EN66" s="256"/>
      <c r="EO66" s="256"/>
      <c r="EP66" s="256"/>
      <c r="EQ66" s="256"/>
      <c r="ER66" s="256"/>
      <c r="ES66" s="256"/>
      <c r="ET66" s="256"/>
      <c r="EU66" s="256"/>
      <c r="EV66" s="256"/>
      <c r="EW66" s="256"/>
      <c r="EX66" s="256"/>
      <c r="EY66" s="256"/>
      <c r="EZ66" s="256"/>
      <c r="FA66" s="256"/>
      <c r="FB66" s="256"/>
      <c r="FC66" s="256"/>
      <c r="FD66" s="256"/>
      <c r="FE66" s="256"/>
      <c r="FF66" s="256"/>
      <c r="FG66" s="256"/>
      <c r="FH66" s="256"/>
      <c r="FI66" s="256"/>
      <c r="FJ66" s="256"/>
      <c r="FK66" s="256"/>
      <c r="FL66" s="256"/>
      <c r="FM66" s="256"/>
      <c r="FN66" s="256"/>
      <c r="FO66" s="256"/>
      <c r="FP66" s="256"/>
      <c r="FQ66" s="256"/>
      <c r="FR66" s="256"/>
      <c r="FS66" s="256"/>
      <c r="FT66" s="256"/>
      <c r="FU66" s="256"/>
      <c r="FV66" s="256"/>
      <c r="FW66" s="256"/>
      <c r="FX66" s="256"/>
      <c r="FY66" s="256"/>
      <c r="FZ66" s="256"/>
      <c r="GA66" s="256"/>
      <c r="GB66" s="256"/>
      <c r="GC66" s="256"/>
      <c r="GD66" s="256"/>
      <c r="GE66" s="256"/>
      <c r="GF66" s="256"/>
      <c r="GG66" s="256"/>
      <c r="GH66" s="256"/>
      <c r="GI66" s="256"/>
      <c r="GJ66" s="256"/>
      <c r="GK66" s="256"/>
      <c r="GL66" s="256"/>
      <c r="GM66" s="256"/>
      <c r="GN66" s="256"/>
      <c r="GO66" s="256"/>
      <c r="GP66" s="256"/>
      <c r="GQ66" s="256"/>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256"/>
      <c r="HU66" s="256"/>
      <c r="HV66" s="256"/>
      <c r="HW66" s="256"/>
      <c r="HX66" s="256"/>
      <c r="HY66" s="256"/>
      <c r="HZ66" s="256"/>
      <c r="IA66" s="256"/>
      <c r="IB66" s="256"/>
      <c r="IC66" s="256"/>
      <c r="ID66" s="256"/>
      <c r="IE66" s="256"/>
      <c r="IF66" s="256"/>
      <c r="IG66" s="256"/>
      <c r="IH66" s="256"/>
      <c r="II66" s="256"/>
      <c r="IJ66" s="256"/>
      <c r="IK66" s="256"/>
      <c r="IL66" s="256"/>
      <c r="IM66" s="256"/>
      <c r="IN66" s="256"/>
      <c r="IO66" s="256"/>
      <c r="IP66" s="256"/>
      <c r="IQ66" s="256"/>
      <c r="IR66" s="256"/>
      <c r="IS66" s="256"/>
      <c r="IT66" s="256"/>
      <c r="IU66" s="256"/>
      <c r="IV66" s="256"/>
      <c r="IW66" s="256"/>
      <c r="IX66" s="256"/>
      <c r="IY66" s="256"/>
      <c r="IZ66" s="256"/>
      <c r="JA66" s="256"/>
      <c r="JB66" s="256"/>
      <c r="JC66" s="256"/>
      <c r="JD66" s="256"/>
      <c r="JE66" s="256"/>
      <c r="JF66" s="256"/>
      <c r="JG66" s="256"/>
      <c r="JH66" s="256"/>
      <c r="JI66" s="256"/>
      <c r="JJ66" s="256"/>
      <c r="JK66" s="256"/>
      <c r="JL66" s="256"/>
      <c r="JM66" s="256"/>
      <c r="JN66" s="256"/>
      <c r="JO66" s="256"/>
      <c r="JP66" s="256"/>
      <c r="JQ66" s="256"/>
      <c r="JR66" s="256"/>
      <c r="JS66" s="256"/>
      <c r="JT66" s="256"/>
      <c r="JU66" s="256"/>
      <c r="JV66" s="256"/>
      <c r="JW66" s="256"/>
      <c r="JX66" s="256"/>
      <c r="JY66" s="256"/>
      <c r="JZ66" s="256"/>
      <c r="KA66" s="256"/>
      <c r="KB66" s="256"/>
      <c r="KC66" s="256"/>
      <c r="KD66" s="256"/>
      <c r="KE66" s="256"/>
      <c r="KF66" s="256"/>
      <c r="KG66" s="256"/>
      <c r="KH66" s="256"/>
      <c r="KI66" s="256"/>
      <c r="KJ66" s="256"/>
      <c r="KK66" s="256"/>
      <c r="KL66" s="256"/>
      <c r="KM66" s="256"/>
      <c r="KN66" s="256"/>
      <c r="KO66" s="256"/>
      <c r="KP66" s="256"/>
      <c r="KQ66" s="256"/>
      <c r="KR66" s="256"/>
      <c r="KS66" s="256"/>
      <c r="KT66" s="256"/>
      <c r="KU66" s="256"/>
      <c r="KV66" s="256"/>
      <c r="KW66" s="256"/>
      <c r="KX66" s="256"/>
      <c r="KY66" s="256"/>
      <c r="KZ66" s="256"/>
      <c r="LA66" s="256"/>
      <c r="LB66" s="256"/>
      <c r="LC66" s="256"/>
      <c r="LD66" s="256"/>
      <c r="LE66" s="256"/>
      <c r="LF66" s="256"/>
      <c r="LG66" s="256"/>
      <c r="LH66" s="256"/>
      <c r="LI66" s="256"/>
      <c r="LJ66" s="256"/>
      <c r="LK66" s="256"/>
      <c r="LL66" s="256"/>
      <c r="LM66" s="256"/>
      <c r="LN66" s="256"/>
      <c r="LO66" s="256"/>
      <c r="LP66" s="256"/>
      <c r="LQ66" s="256"/>
      <c r="LR66" s="256"/>
      <c r="LS66" s="256"/>
      <c r="LT66" s="256"/>
      <c r="LU66" s="256"/>
      <c r="LV66" s="256"/>
      <c r="LW66" s="256"/>
      <c r="LX66" s="256"/>
      <c r="LY66" s="256"/>
      <c r="LZ66" s="256"/>
      <c r="MA66" s="256"/>
      <c r="MB66" s="256"/>
      <c r="MC66" s="256"/>
      <c r="MD66" s="256"/>
      <c r="ME66" s="256"/>
      <c r="MF66" s="256"/>
      <c r="MG66" s="256"/>
      <c r="MH66" s="256"/>
      <c r="MI66" s="256"/>
      <c r="MJ66" s="256"/>
      <c r="MK66" s="256"/>
      <c r="ML66" s="256"/>
      <c r="MM66" s="256"/>
      <c r="MN66" s="256"/>
      <c r="MO66" s="256"/>
      <c r="MP66" s="256"/>
      <c r="MQ66" s="256"/>
      <c r="MR66" s="256"/>
      <c r="MS66" s="256"/>
      <c r="MT66" s="256"/>
      <c r="MU66" s="256"/>
      <c r="MV66" s="256"/>
      <c r="MW66" s="256"/>
      <c r="MX66" s="256"/>
      <c r="MY66" s="256"/>
      <c r="MZ66" s="256"/>
      <c r="NA66" s="256"/>
      <c r="NB66" s="256"/>
      <c r="NC66" s="256"/>
      <c r="ND66" s="256"/>
      <c r="NE66" s="256"/>
      <c r="NF66" s="256"/>
      <c r="NG66" s="256"/>
      <c r="NH66" s="256"/>
      <c r="NI66" s="256"/>
      <c r="NJ66" s="256"/>
      <c r="NK66" s="256"/>
      <c r="NL66" s="256"/>
      <c r="NM66" s="256"/>
      <c r="NN66" s="256"/>
      <c r="NO66" s="256"/>
      <c r="NP66" s="256"/>
      <c r="NQ66" s="256"/>
      <c r="NR66" s="256"/>
      <c r="NS66" s="256"/>
      <c r="NT66" s="256"/>
      <c r="NU66" s="256"/>
      <c r="NV66" s="256"/>
      <c r="NW66" s="256"/>
      <c r="NX66" s="256"/>
      <c r="NY66" s="256"/>
      <c r="NZ66" s="256"/>
      <c r="OA66" s="256"/>
      <c r="OB66" s="256"/>
      <c r="OC66" s="256"/>
      <c r="OD66" s="256"/>
      <c r="OE66" s="256"/>
      <c r="OF66" s="256"/>
      <c r="OG66" s="256"/>
      <c r="OH66" s="256"/>
      <c r="OI66" s="256"/>
      <c r="OJ66" s="256"/>
      <c r="OK66" s="256"/>
      <c r="OL66" s="256"/>
      <c r="OM66" s="256"/>
      <c r="ON66" s="256"/>
      <c r="OO66" s="256"/>
      <c r="OP66" s="256"/>
      <c r="OQ66" s="256"/>
      <c r="OR66" s="256"/>
      <c r="OS66" s="256"/>
      <c r="OT66" s="256"/>
      <c r="OU66" s="256"/>
      <c r="OV66" s="256"/>
      <c r="OW66" s="256"/>
      <c r="OX66" s="256"/>
      <c r="OY66" s="256"/>
      <c r="OZ66" s="256"/>
      <c r="PA66" s="256"/>
      <c r="PB66" s="256"/>
      <c r="PC66" s="256"/>
      <c r="PD66" s="256"/>
      <c r="PE66" s="256"/>
      <c r="PF66" s="256"/>
      <c r="PG66" s="256"/>
      <c r="PH66" s="256"/>
      <c r="PI66" s="256"/>
      <c r="PJ66" s="256"/>
      <c r="PK66" s="256"/>
      <c r="PL66" s="256"/>
      <c r="PM66" s="256"/>
      <c r="PN66" s="256"/>
      <c r="PO66" s="256"/>
      <c r="PP66" s="256"/>
      <c r="PQ66" s="256"/>
      <c r="PR66" s="256"/>
      <c r="PS66" s="256"/>
      <c r="PT66" s="256"/>
      <c r="PU66" s="256"/>
      <c r="PV66" s="256"/>
      <c r="PW66" s="256"/>
      <c r="PX66" s="256"/>
      <c r="PY66" s="256"/>
      <c r="PZ66" s="256"/>
      <c r="QA66" s="256"/>
      <c r="QB66" s="256"/>
      <c r="QC66" s="256"/>
      <c r="QD66" s="256"/>
      <c r="QE66" s="256"/>
      <c r="QF66" s="256"/>
      <c r="QG66" s="256"/>
      <c r="QH66" s="256"/>
    </row>
    <row r="67" spans="1:450" x14ac:dyDescent="0.25">
      <c r="A67" s="265" t="s">
        <v>1102</v>
      </c>
    </row>
    <row r="68" spans="1:450" s="255" customFormat="1" x14ac:dyDescent="0.25">
      <c r="A68" s="249" t="s">
        <v>202</v>
      </c>
      <c r="B68" s="337" t="s">
        <v>242</v>
      </c>
      <c r="C68" s="249" t="s">
        <v>215</v>
      </c>
      <c r="D68" s="250">
        <v>368</v>
      </c>
      <c r="E68" s="251">
        <v>0.75</v>
      </c>
      <c r="F68" s="250">
        <v>276</v>
      </c>
      <c r="G68" s="251">
        <v>0.25</v>
      </c>
      <c r="H68" s="250">
        <v>92</v>
      </c>
      <c r="I68" s="252"/>
      <c r="J68" s="253">
        <f>F68*8</f>
        <v>2208</v>
      </c>
      <c r="K68" s="254" t="s">
        <v>2161</v>
      </c>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256"/>
      <c r="CH68" s="256"/>
      <c r="CI68" s="256"/>
      <c r="CJ68" s="256"/>
      <c r="CK68" s="256"/>
      <c r="CL68" s="256"/>
      <c r="CM68" s="256"/>
      <c r="CN68" s="256"/>
      <c r="CO68" s="256"/>
      <c r="CP68" s="256"/>
      <c r="CQ68" s="256"/>
      <c r="CR68" s="256"/>
      <c r="CS68" s="256"/>
      <c r="CT68" s="256"/>
      <c r="CU68" s="256"/>
      <c r="CV68" s="256"/>
      <c r="CW68" s="256"/>
      <c r="CX68" s="256"/>
      <c r="CY68" s="256"/>
      <c r="CZ68" s="256"/>
      <c r="DA68" s="256"/>
      <c r="DB68" s="256"/>
      <c r="DC68" s="256"/>
      <c r="DD68" s="256"/>
      <c r="DE68" s="256"/>
      <c r="DF68" s="256"/>
      <c r="DG68" s="256"/>
      <c r="DH68" s="256"/>
      <c r="DI68" s="256"/>
      <c r="DJ68" s="256"/>
      <c r="DK68" s="256"/>
      <c r="DL68" s="256"/>
      <c r="DM68" s="256"/>
      <c r="DN68" s="256"/>
      <c r="DO68" s="256"/>
      <c r="DP68" s="256"/>
      <c r="DQ68" s="256"/>
      <c r="DR68" s="256"/>
      <c r="DS68" s="256"/>
      <c r="DT68" s="256"/>
      <c r="DU68" s="256"/>
      <c r="DV68" s="256"/>
      <c r="DW68" s="256"/>
      <c r="DX68" s="256"/>
      <c r="DY68" s="256"/>
      <c r="DZ68" s="256"/>
      <c r="EA68" s="256"/>
      <c r="EB68" s="256"/>
      <c r="EC68" s="256"/>
      <c r="ED68" s="256"/>
      <c r="EE68" s="256"/>
      <c r="EF68" s="256"/>
      <c r="EG68" s="256"/>
      <c r="EH68" s="256"/>
      <c r="EI68" s="256"/>
      <c r="EJ68" s="256"/>
      <c r="EK68" s="256"/>
      <c r="EL68" s="256"/>
      <c r="EM68" s="256"/>
      <c r="EN68" s="256"/>
      <c r="EO68" s="256"/>
      <c r="EP68" s="256"/>
      <c r="EQ68" s="256"/>
      <c r="ER68" s="256"/>
      <c r="ES68" s="256"/>
      <c r="ET68" s="256"/>
      <c r="EU68" s="256"/>
      <c r="EV68" s="256"/>
      <c r="EW68" s="256"/>
      <c r="EX68" s="256"/>
      <c r="EY68" s="256"/>
      <c r="EZ68" s="256"/>
      <c r="FA68" s="256"/>
      <c r="FB68" s="256"/>
      <c r="FC68" s="256"/>
      <c r="FD68" s="256"/>
      <c r="FE68" s="256"/>
      <c r="FF68" s="256"/>
      <c r="FG68" s="256"/>
      <c r="FH68" s="256"/>
      <c r="FI68" s="256"/>
      <c r="FJ68" s="256"/>
      <c r="FK68" s="256"/>
      <c r="FL68" s="256"/>
      <c r="FM68" s="256"/>
      <c r="FN68" s="256"/>
      <c r="FO68" s="256"/>
      <c r="FP68" s="256"/>
      <c r="FQ68" s="256"/>
      <c r="FR68" s="256"/>
      <c r="FS68" s="256"/>
      <c r="FT68" s="256"/>
      <c r="FU68" s="256"/>
      <c r="FV68" s="256"/>
      <c r="FW68" s="256"/>
      <c r="FX68" s="256"/>
      <c r="FY68" s="256"/>
      <c r="FZ68" s="256"/>
      <c r="GA68" s="256"/>
      <c r="GB68" s="256"/>
      <c r="GC68" s="256"/>
      <c r="GD68" s="256"/>
      <c r="GE68" s="256"/>
      <c r="GF68" s="256"/>
      <c r="GG68" s="256"/>
      <c r="GH68" s="256"/>
      <c r="GI68" s="256"/>
      <c r="GJ68" s="256"/>
      <c r="GK68" s="256"/>
      <c r="GL68" s="256"/>
      <c r="GM68" s="256"/>
      <c r="GN68" s="256"/>
      <c r="GO68" s="256"/>
      <c r="GP68" s="256"/>
      <c r="GQ68" s="256"/>
      <c r="GR68" s="256"/>
      <c r="GS68" s="256"/>
      <c r="GT68" s="256"/>
      <c r="GU68" s="256"/>
      <c r="GV68" s="256"/>
      <c r="GW68" s="256"/>
      <c r="GX68" s="256"/>
      <c r="GY68" s="256"/>
      <c r="GZ68" s="256"/>
      <c r="HA68" s="256"/>
      <c r="HB68" s="256"/>
      <c r="HC68" s="256"/>
      <c r="HD68" s="256"/>
      <c r="HE68" s="256"/>
      <c r="HF68" s="256"/>
      <c r="HG68" s="256"/>
      <c r="HH68" s="256"/>
      <c r="HI68" s="256"/>
      <c r="HJ68" s="256"/>
      <c r="HK68" s="256"/>
      <c r="HL68" s="256"/>
      <c r="HM68" s="256"/>
      <c r="HN68" s="256"/>
      <c r="HO68" s="256"/>
      <c r="HP68" s="256"/>
      <c r="HQ68" s="256"/>
      <c r="HR68" s="256"/>
      <c r="HS68" s="256"/>
      <c r="HT68" s="256"/>
      <c r="HU68" s="256"/>
      <c r="HV68" s="256"/>
      <c r="HW68" s="256"/>
      <c r="HX68" s="256"/>
      <c r="HY68" s="256"/>
      <c r="HZ68" s="256"/>
      <c r="IA68" s="256"/>
      <c r="IB68" s="256"/>
      <c r="IC68" s="256"/>
      <c r="ID68" s="256"/>
      <c r="IE68" s="256"/>
      <c r="IF68" s="256"/>
      <c r="IG68" s="256"/>
      <c r="IH68" s="256"/>
      <c r="II68" s="256"/>
      <c r="IJ68" s="256"/>
      <c r="IK68" s="256"/>
      <c r="IL68" s="256"/>
      <c r="IM68" s="256"/>
      <c r="IN68" s="256"/>
      <c r="IO68" s="256"/>
      <c r="IP68" s="256"/>
      <c r="IQ68" s="256"/>
      <c r="IR68" s="256"/>
      <c r="IS68" s="256"/>
      <c r="IT68" s="256"/>
      <c r="IU68" s="256"/>
      <c r="IV68" s="256"/>
      <c r="IW68" s="256"/>
      <c r="IX68" s="256"/>
      <c r="IY68" s="256"/>
      <c r="IZ68" s="256"/>
      <c r="JA68" s="256"/>
      <c r="JB68" s="256"/>
      <c r="JC68" s="256"/>
      <c r="JD68" s="256"/>
      <c r="JE68" s="256"/>
      <c r="JF68" s="256"/>
      <c r="JG68" s="256"/>
      <c r="JH68" s="256"/>
      <c r="JI68" s="256"/>
      <c r="JJ68" s="256"/>
      <c r="JK68" s="256"/>
      <c r="JL68" s="256"/>
      <c r="JM68" s="256"/>
      <c r="JN68" s="256"/>
      <c r="JO68" s="256"/>
      <c r="JP68" s="256"/>
      <c r="JQ68" s="256"/>
      <c r="JR68" s="256"/>
      <c r="JS68" s="256"/>
      <c r="JT68" s="256"/>
      <c r="JU68" s="256"/>
      <c r="JV68" s="256"/>
      <c r="JW68" s="256"/>
      <c r="JX68" s="256"/>
      <c r="JY68" s="256"/>
      <c r="JZ68" s="256"/>
      <c r="KA68" s="256"/>
      <c r="KB68" s="256"/>
      <c r="KC68" s="256"/>
      <c r="KD68" s="256"/>
      <c r="KE68" s="256"/>
      <c r="KF68" s="256"/>
      <c r="KG68" s="256"/>
      <c r="KH68" s="256"/>
      <c r="KI68" s="256"/>
      <c r="KJ68" s="256"/>
      <c r="KK68" s="256"/>
      <c r="KL68" s="256"/>
      <c r="KM68" s="256"/>
      <c r="KN68" s="256"/>
      <c r="KO68" s="256"/>
      <c r="KP68" s="256"/>
      <c r="KQ68" s="256"/>
      <c r="KR68" s="256"/>
      <c r="KS68" s="256"/>
      <c r="KT68" s="256"/>
      <c r="KU68" s="256"/>
      <c r="KV68" s="256"/>
      <c r="KW68" s="256"/>
      <c r="KX68" s="256"/>
      <c r="KY68" s="256"/>
      <c r="KZ68" s="256"/>
      <c r="LA68" s="256"/>
      <c r="LB68" s="256"/>
      <c r="LC68" s="256"/>
      <c r="LD68" s="256"/>
      <c r="LE68" s="256"/>
      <c r="LF68" s="256"/>
      <c r="LG68" s="256"/>
      <c r="LH68" s="256"/>
      <c r="LI68" s="256"/>
      <c r="LJ68" s="256"/>
      <c r="LK68" s="256"/>
      <c r="LL68" s="256"/>
      <c r="LM68" s="256"/>
      <c r="LN68" s="256"/>
      <c r="LO68" s="256"/>
      <c r="LP68" s="256"/>
      <c r="LQ68" s="256"/>
      <c r="LR68" s="256"/>
      <c r="LS68" s="256"/>
      <c r="LT68" s="256"/>
      <c r="LU68" s="256"/>
      <c r="LV68" s="256"/>
      <c r="LW68" s="256"/>
      <c r="LX68" s="256"/>
      <c r="LY68" s="256"/>
      <c r="LZ68" s="256"/>
      <c r="MA68" s="256"/>
      <c r="MB68" s="256"/>
      <c r="MC68" s="256"/>
      <c r="MD68" s="256"/>
      <c r="ME68" s="256"/>
      <c r="MF68" s="256"/>
      <c r="MG68" s="256"/>
      <c r="MH68" s="256"/>
      <c r="MI68" s="256"/>
      <c r="MJ68" s="256"/>
      <c r="MK68" s="256"/>
      <c r="ML68" s="256"/>
      <c r="MM68" s="256"/>
      <c r="MN68" s="256"/>
      <c r="MO68" s="256"/>
      <c r="MP68" s="256"/>
      <c r="MQ68" s="256"/>
      <c r="MR68" s="256"/>
      <c r="MS68" s="256"/>
      <c r="MT68" s="256"/>
      <c r="MU68" s="256"/>
      <c r="MV68" s="256"/>
      <c r="MW68" s="256"/>
      <c r="MX68" s="256"/>
      <c r="MY68" s="256"/>
      <c r="MZ68" s="256"/>
      <c r="NA68" s="256"/>
      <c r="NB68" s="256"/>
      <c r="NC68" s="256"/>
      <c r="ND68" s="256"/>
      <c r="NE68" s="256"/>
      <c r="NF68" s="256"/>
      <c r="NG68" s="256"/>
      <c r="NH68" s="256"/>
      <c r="NI68" s="256"/>
      <c r="NJ68" s="256"/>
      <c r="NK68" s="256"/>
      <c r="NL68" s="256"/>
      <c r="NM68" s="256"/>
      <c r="NN68" s="256"/>
      <c r="NO68" s="256"/>
      <c r="NP68" s="256"/>
      <c r="NQ68" s="256"/>
      <c r="NR68" s="256"/>
      <c r="NS68" s="256"/>
      <c r="NT68" s="256"/>
      <c r="NU68" s="256"/>
      <c r="NV68" s="256"/>
      <c r="NW68" s="256"/>
      <c r="NX68" s="256"/>
      <c r="NY68" s="256"/>
      <c r="NZ68" s="256"/>
      <c r="OA68" s="256"/>
      <c r="OB68" s="256"/>
      <c r="OC68" s="256"/>
      <c r="OD68" s="256"/>
      <c r="OE68" s="256"/>
      <c r="OF68" s="256"/>
      <c r="OG68" s="256"/>
      <c r="OH68" s="256"/>
      <c r="OI68" s="256"/>
      <c r="OJ68" s="256"/>
      <c r="OK68" s="256"/>
      <c r="OL68" s="256"/>
      <c r="OM68" s="256"/>
      <c r="ON68" s="256"/>
      <c r="OO68" s="256"/>
      <c r="OP68" s="256"/>
      <c r="OQ68" s="256"/>
      <c r="OR68" s="256"/>
      <c r="OS68" s="256"/>
      <c r="OT68" s="256"/>
      <c r="OU68" s="256"/>
      <c r="OV68" s="256"/>
      <c r="OW68" s="256"/>
      <c r="OX68" s="256"/>
      <c r="OY68" s="256"/>
      <c r="OZ68" s="256"/>
      <c r="PA68" s="256"/>
      <c r="PB68" s="256"/>
      <c r="PC68" s="256"/>
      <c r="PD68" s="256"/>
      <c r="PE68" s="256"/>
      <c r="PF68" s="256"/>
      <c r="PG68" s="256"/>
      <c r="PH68" s="256"/>
      <c r="PI68" s="256"/>
      <c r="PJ68" s="256"/>
      <c r="PK68" s="256"/>
      <c r="PL68" s="256"/>
      <c r="PM68" s="256"/>
      <c r="PN68" s="256"/>
      <c r="PO68" s="256"/>
      <c r="PP68" s="256"/>
      <c r="PQ68" s="256"/>
      <c r="PR68" s="256"/>
      <c r="PS68" s="256"/>
      <c r="PT68" s="256"/>
      <c r="PU68" s="256"/>
      <c r="PV68" s="256"/>
      <c r="PW68" s="256"/>
      <c r="PX68" s="256"/>
      <c r="PY68" s="256"/>
      <c r="PZ68" s="256"/>
      <c r="QA68" s="256"/>
      <c r="QB68" s="256"/>
      <c r="QC68" s="256"/>
      <c r="QD68" s="256"/>
      <c r="QE68" s="256"/>
      <c r="QF68" s="256"/>
      <c r="QG68" s="256"/>
      <c r="QH68" s="256"/>
    </row>
    <row r="69" spans="1:450" s="255" customFormat="1" x14ac:dyDescent="0.25">
      <c r="A69" s="249"/>
      <c r="B69" s="249" t="s">
        <v>261</v>
      </c>
      <c r="C69" s="249" t="s">
        <v>215</v>
      </c>
      <c r="D69" s="250">
        <v>368</v>
      </c>
      <c r="E69" s="251">
        <v>0</v>
      </c>
      <c r="F69" s="250">
        <f>E69*D69</f>
        <v>0</v>
      </c>
      <c r="G69" s="251">
        <v>1</v>
      </c>
      <c r="H69" s="250">
        <f t="shared" ref="H69:H78" si="9">G69*D69</f>
        <v>368</v>
      </c>
      <c r="I69" s="252"/>
      <c r="J69" s="253">
        <f t="shared" ref="J69:J78" si="10">F69*12</f>
        <v>0</v>
      </c>
      <c r="K69" s="254"/>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256"/>
      <c r="CI69" s="256"/>
      <c r="CJ69" s="256"/>
      <c r="CK69" s="256"/>
      <c r="CL69" s="256"/>
      <c r="CM69" s="256"/>
      <c r="CN69" s="256"/>
      <c r="CO69" s="256"/>
      <c r="CP69" s="256"/>
      <c r="CQ69" s="256"/>
      <c r="CR69" s="256"/>
      <c r="CS69" s="256"/>
      <c r="CT69" s="256"/>
      <c r="CU69" s="256"/>
      <c r="CV69" s="256"/>
      <c r="CW69" s="256"/>
      <c r="CX69" s="256"/>
      <c r="CY69" s="256"/>
      <c r="CZ69" s="256"/>
      <c r="DA69" s="256"/>
      <c r="DB69" s="256"/>
      <c r="DC69" s="256"/>
      <c r="DD69" s="256"/>
      <c r="DE69" s="256"/>
      <c r="DF69" s="256"/>
      <c r="DG69" s="256"/>
      <c r="DH69" s="256"/>
      <c r="DI69" s="256"/>
      <c r="DJ69" s="256"/>
      <c r="DK69" s="256"/>
      <c r="DL69" s="256"/>
      <c r="DM69" s="256"/>
      <c r="DN69" s="256"/>
      <c r="DO69" s="256"/>
      <c r="DP69" s="256"/>
      <c r="DQ69" s="256"/>
      <c r="DR69" s="256"/>
      <c r="DS69" s="256"/>
      <c r="DT69" s="256"/>
      <c r="DU69" s="256"/>
      <c r="DV69" s="256"/>
      <c r="DW69" s="256"/>
      <c r="DX69" s="256"/>
      <c r="DY69" s="256"/>
      <c r="DZ69" s="256"/>
      <c r="EA69" s="256"/>
      <c r="EB69" s="256"/>
      <c r="EC69" s="256"/>
      <c r="ED69" s="256"/>
      <c r="EE69" s="256"/>
      <c r="EF69" s="256"/>
      <c r="EG69" s="256"/>
      <c r="EH69" s="256"/>
      <c r="EI69" s="256"/>
      <c r="EJ69" s="256"/>
      <c r="EK69" s="256"/>
      <c r="EL69" s="256"/>
      <c r="EM69" s="256"/>
      <c r="EN69" s="256"/>
      <c r="EO69" s="256"/>
      <c r="EP69" s="256"/>
      <c r="EQ69" s="256"/>
      <c r="ER69" s="256"/>
      <c r="ES69" s="256"/>
      <c r="ET69" s="256"/>
      <c r="EU69" s="256"/>
      <c r="EV69" s="256"/>
      <c r="EW69" s="256"/>
      <c r="EX69" s="256"/>
      <c r="EY69" s="256"/>
      <c r="EZ69" s="256"/>
      <c r="FA69" s="256"/>
      <c r="FB69" s="256"/>
      <c r="FC69" s="256"/>
      <c r="FD69" s="256"/>
      <c r="FE69" s="256"/>
      <c r="FF69" s="256"/>
      <c r="FG69" s="256"/>
      <c r="FH69" s="256"/>
      <c r="FI69" s="256"/>
      <c r="FJ69" s="256"/>
      <c r="FK69" s="256"/>
      <c r="FL69" s="256"/>
      <c r="FM69" s="256"/>
      <c r="FN69" s="256"/>
      <c r="FO69" s="256"/>
      <c r="FP69" s="256"/>
      <c r="FQ69" s="256"/>
      <c r="FR69" s="256"/>
      <c r="FS69" s="256"/>
      <c r="FT69" s="256"/>
      <c r="FU69" s="256"/>
      <c r="FV69" s="256"/>
      <c r="FW69" s="256"/>
      <c r="FX69" s="256"/>
      <c r="FY69" s="256"/>
      <c r="FZ69" s="256"/>
      <c r="GA69" s="256"/>
      <c r="GB69" s="256"/>
      <c r="GC69" s="256"/>
      <c r="GD69" s="256"/>
      <c r="GE69" s="256"/>
      <c r="GF69" s="256"/>
      <c r="GG69" s="256"/>
      <c r="GH69" s="256"/>
      <c r="GI69" s="256"/>
      <c r="GJ69" s="256"/>
      <c r="GK69" s="256"/>
      <c r="GL69" s="256"/>
      <c r="GM69" s="256"/>
      <c r="GN69" s="256"/>
      <c r="GO69" s="256"/>
      <c r="GP69" s="256"/>
      <c r="GQ69" s="256"/>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256"/>
      <c r="HU69" s="256"/>
      <c r="HV69" s="256"/>
      <c r="HW69" s="256"/>
      <c r="HX69" s="256"/>
      <c r="HY69" s="256"/>
      <c r="HZ69" s="256"/>
      <c r="IA69" s="256"/>
      <c r="IB69" s="256"/>
      <c r="IC69" s="256"/>
      <c r="ID69" s="256"/>
      <c r="IE69" s="256"/>
      <c r="IF69" s="256"/>
      <c r="IG69" s="256"/>
      <c r="IH69" s="256"/>
      <c r="II69" s="256"/>
      <c r="IJ69" s="256"/>
      <c r="IK69" s="256"/>
      <c r="IL69" s="256"/>
      <c r="IM69" s="256"/>
      <c r="IN69" s="256"/>
      <c r="IO69" s="256"/>
      <c r="IP69" s="256"/>
      <c r="IQ69" s="256"/>
      <c r="IR69" s="256"/>
      <c r="IS69" s="256"/>
      <c r="IT69" s="256"/>
      <c r="IU69" s="256"/>
      <c r="IV69" s="256"/>
      <c r="IW69" s="256"/>
      <c r="IX69" s="256"/>
      <c r="IY69" s="256"/>
      <c r="IZ69" s="256"/>
      <c r="JA69" s="256"/>
      <c r="JB69" s="256"/>
      <c r="JC69" s="256"/>
      <c r="JD69" s="256"/>
      <c r="JE69" s="256"/>
      <c r="JF69" s="256"/>
      <c r="JG69" s="256"/>
      <c r="JH69" s="256"/>
      <c r="JI69" s="256"/>
      <c r="JJ69" s="256"/>
      <c r="JK69" s="256"/>
      <c r="JL69" s="256"/>
      <c r="JM69" s="256"/>
      <c r="JN69" s="256"/>
      <c r="JO69" s="256"/>
      <c r="JP69" s="256"/>
      <c r="JQ69" s="256"/>
      <c r="JR69" s="256"/>
      <c r="JS69" s="256"/>
      <c r="JT69" s="256"/>
      <c r="JU69" s="256"/>
      <c r="JV69" s="256"/>
      <c r="JW69" s="256"/>
      <c r="JX69" s="256"/>
      <c r="JY69" s="256"/>
      <c r="JZ69" s="256"/>
      <c r="KA69" s="256"/>
      <c r="KB69" s="256"/>
      <c r="KC69" s="256"/>
      <c r="KD69" s="256"/>
      <c r="KE69" s="256"/>
      <c r="KF69" s="256"/>
      <c r="KG69" s="256"/>
      <c r="KH69" s="256"/>
      <c r="KI69" s="256"/>
      <c r="KJ69" s="256"/>
      <c r="KK69" s="256"/>
      <c r="KL69" s="256"/>
      <c r="KM69" s="256"/>
      <c r="KN69" s="256"/>
      <c r="KO69" s="256"/>
      <c r="KP69" s="256"/>
      <c r="KQ69" s="256"/>
      <c r="KR69" s="256"/>
      <c r="KS69" s="256"/>
      <c r="KT69" s="256"/>
      <c r="KU69" s="256"/>
      <c r="KV69" s="256"/>
      <c r="KW69" s="256"/>
      <c r="KX69" s="256"/>
      <c r="KY69" s="256"/>
      <c r="KZ69" s="256"/>
      <c r="LA69" s="256"/>
      <c r="LB69" s="256"/>
      <c r="LC69" s="256"/>
      <c r="LD69" s="256"/>
      <c r="LE69" s="256"/>
      <c r="LF69" s="256"/>
      <c r="LG69" s="256"/>
      <c r="LH69" s="256"/>
      <c r="LI69" s="256"/>
      <c r="LJ69" s="256"/>
      <c r="LK69" s="256"/>
      <c r="LL69" s="256"/>
      <c r="LM69" s="256"/>
      <c r="LN69" s="256"/>
      <c r="LO69" s="256"/>
      <c r="LP69" s="256"/>
      <c r="LQ69" s="256"/>
      <c r="LR69" s="256"/>
      <c r="LS69" s="256"/>
      <c r="LT69" s="256"/>
      <c r="LU69" s="256"/>
      <c r="LV69" s="256"/>
      <c r="LW69" s="256"/>
      <c r="LX69" s="256"/>
      <c r="LY69" s="256"/>
      <c r="LZ69" s="256"/>
      <c r="MA69" s="256"/>
      <c r="MB69" s="256"/>
      <c r="MC69" s="256"/>
      <c r="MD69" s="256"/>
      <c r="ME69" s="256"/>
      <c r="MF69" s="256"/>
      <c r="MG69" s="256"/>
      <c r="MH69" s="256"/>
      <c r="MI69" s="256"/>
      <c r="MJ69" s="256"/>
      <c r="MK69" s="256"/>
      <c r="ML69" s="256"/>
      <c r="MM69" s="256"/>
      <c r="MN69" s="256"/>
      <c r="MO69" s="256"/>
      <c r="MP69" s="256"/>
      <c r="MQ69" s="256"/>
      <c r="MR69" s="256"/>
      <c r="MS69" s="256"/>
      <c r="MT69" s="256"/>
      <c r="MU69" s="256"/>
      <c r="MV69" s="256"/>
      <c r="MW69" s="256"/>
      <c r="MX69" s="256"/>
      <c r="MY69" s="256"/>
      <c r="MZ69" s="256"/>
      <c r="NA69" s="256"/>
      <c r="NB69" s="256"/>
      <c r="NC69" s="256"/>
      <c r="ND69" s="256"/>
      <c r="NE69" s="256"/>
      <c r="NF69" s="256"/>
      <c r="NG69" s="256"/>
      <c r="NH69" s="256"/>
      <c r="NI69" s="256"/>
      <c r="NJ69" s="256"/>
      <c r="NK69" s="256"/>
      <c r="NL69" s="256"/>
      <c r="NM69" s="256"/>
      <c r="NN69" s="256"/>
      <c r="NO69" s="256"/>
      <c r="NP69" s="256"/>
      <c r="NQ69" s="256"/>
      <c r="NR69" s="256"/>
      <c r="NS69" s="256"/>
      <c r="NT69" s="256"/>
      <c r="NU69" s="256"/>
      <c r="NV69" s="256"/>
      <c r="NW69" s="256"/>
      <c r="NX69" s="256"/>
      <c r="NY69" s="256"/>
      <c r="NZ69" s="256"/>
      <c r="OA69" s="256"/>
      <c r="OB69" s="256"/>
      <c r="OC69" s="256"/>
      <c r="OD69" s="256"/>
      <c r="OE69" s="256"/>
      <c r="OF69" s="256"/>
      <c r="OG69" s="256"/>
      <c r="OH69" s="256"/>
      <c r="OI69" s="256"/>
      <c r="OJ69" s="256"/>
      <c r="OK69" s="256"/>
      <c r="OL69" s="256"/>
      <c r="OM69" s="256"/>
      <c r="ON69" s="256"/>
      <c r="OO69" s="256"/>
      <c r="OP69" s="256"/>
      <c r="OQ69" s="256"/>
      <c r="OR69" s="256"/>
      <c r="OS69" s="256"/>
      <c r="OT69" s="256"/>
      <c r="OU69" s="256"/>
      <c r="OV69" s="256"/>
      <c r="OW69" s="256"/>
      <c r="OX69" s="256"/>
      <c r="OY69" s="256"/>
      <c r="OZ69" s="256"/>
      <c r="PA69" s="256"/>
      <c r="PB69" s="256"/>
      <c r="PC69" s="256"/>
      <c r="PD69" s="256"/>
      <c r="PE69" s="256"/>
      <c r="PF69" s="256"/>
      <c r="PG69" s="256"/>
      <c r="PH69" s="256"/>
      <c r="PI69" s="256"/>
      <c r="PJ69" s="256"/>
      <c r="PK69" s="256"/>
      <c r="PL69" s="256"/>
      <c r="PM69" s="256"/>
      <c r="PN69" s="256"/>
      <c r="PO69" s="256"/>
      <c r="PP69" s="256"/>
      <c r="PQ69" s="256"/>
      <c r="PR69" s="256"/>
      <c r="PS69" s="256"/>
      <c r="PT69" s="256"/>
      <c r="PU69" s="256"/>
      <c r="PV69" s="256"/>
      <c r="PW69" s="256"/>
      <c r="PX69" s="256"/>
      <c r="PY69" s="256"/>
      <c r="PZ69" s="256"/>
      <c r="QA69" s="256"/>
      <c r="QB69" s="256"/>
      <c r="QC69" s="256"/>
      <c r="QD69" s="256"/>
      <c r="QE69" s="256"/>
      <c r="QF69" s="256"/>
      <c r="QG69" s="256"/>
      <c r="QH69" s="256"/>
    </row>
    <row r="70" spans="1:450" s="255" customFormat="1" x14ac:dyDescent="0.25">
      <c r="A70" s="249"/>
      <c r="B70" s="249" t="s">
        <v>263</v>
      </c>
      <c r="C70" s="249" t="s">
        <v>216</v>
      </c>
      <c r="D70" s="250">
        <v>368</v>
      </c>
      <c r="E70" s="251">
        <v>0.75</v>
      </c>
      <c r="F70" s="250">
        <f>E70*D70</f>
        <v>276</v>
      </c>
      <c r="G70" s="251">
        <v>0.25</v>
      </c>
      <c r="H70" s="250">
        <f t="shared" si="9"/>
        <v>92</v>
      </c>
      <c r="I70" s="252"/>
      <c r="J70" s="253">
        <f t="shared" si="10"/>
        <v>3312</v>
      </c>
      <c r="K70" s="254"/>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256"/>
      <c r="CJ70" s="256"/>
      <c r="CK70" s="256"/>
      <c r="CL70" s="256"/>
      <c r="CM70" s="256"/>
      <c r="CN70" s="256"/>
      <c r="CO70" s="256"/>
      <c r="CP70" s="256"/>
      <c r="CQ70" s="256"/>
      <c r="CR70" s="256"/>
      <c r="CS70" s="256"/>
      <c r="CT70" s="256"/>
      <c r="CU70" s="256"/>
      <c r="CV70" s="256"/>
      <c r="CW70" s="256"/>
      <c r="CX70" s="256"/>
      <c r="CY70" s="256"/>
      <c r="CZ70" s="256"/>
      <c r="DA70" s="256"/>
      <c r="DB70" s="256"/>
      <c r="DC70" s="256"/>
      <c r="DD70" s="256"/>
      <c r="DE70" s="256"/>
      <c r="DF70" s="256"/>
      <c r="DG70" s="256"/>
      <c r="DH70" s="256"/>
      <c r="DI70" s="256"/>
      <c r="DJ70" s="256"/>
      <c r="DK70" s="256"/>
      <c r="DL70" s="256"/>
      <c r="DM70" s="256"/>
      <c r="DN70" s="256"/>
      <c r="DO70" s="256"/>
      <c r="DP70" s="256"/>
      <c r="DQ70" s="256"/>
      <c r="DR70" s="256"/>
      <c r="DS70" s="256"/>
      <c r="DT70" s="256"/>
      <c r="DU70" s="256"/>
      <c r="DV70" s="256"/>
      <c r="DW70" s="256"/>
      <c r="DX70" s="256"/>
      <c r="DY70" s="256"/>
      <c r="DZ70" s="256"/>
      <c r="EA70" s="256"/>
      <c r="EB70" s="256"/>
      <c r="EC70" s="256"/>
      <c r="ED70" s="256"/>
      <c r="EE70" s="256"/>
      <c r="EF70" s="256"/>
      <c r="EG70" s="256"/>
      <c r="EH70" s="256"/>
      <c r="EI70" s="256"/>
      <c r="EJ70" s="256"/>
      <c r="EK70" s="256"/>
      <c r="EL70" s="256"/>
      <c r="EM70" s="256"/>
      <c r="EN70" s="256"/>
      <c r="EO70" s="256"/>
      <c r="EP70" s="256"/>
      <c r="EQ70" s="256"/>
      <c r="ER70" s="256"/>
      <c r="ES70" s="256"/>
      <c r="ET70" s="256"/>
      <c r="EU70" s="256"/>
      <c r="EV70" s="256"/>
      <c r="EW70" s="256"/>
      <c r="EX70" s="256"/>
      <c r="EY70" s="256"/>
      <c r="EZ70" s="256"/>
      <c r="FA70" s="256"/>
      <c r="FB70" s="256"/>
      <c r="FC70" s="256"/>
      <c r="FD70" s="256"/>
      <c r="FE70" s="256"/>
      <c r="FF70" s="256"/>
      <c r="FG70" s="256"/>
      <c r="FH70" s="256"/>
      <c r="FI70" s="256"/>
      <c r="FJ70" s="256"/>
      <c r="FK70" s="256"/>
      <c r="FL70" s="256"/>
      <c r="FM70" s="256"/>
      <c r="FN70" s="256"/>
      <c r="FO70" s="256"/>
      <c r="FP70" s="256"/>
      <c r="FQ70" s="256"/>
      <c r="FR70" s="256"/>
      <c r="FS70" s="256"/>
      <c r="FT70" s="256"/>
      <c r="FU70" s="256"/>
      <c r="FV70" s="256"/>
      <c r="FW70" s="256"/>
      <c r="FX70" s="256"/>
      <c r="FY70" s="256"/>
      <c r="FZ70" s="256"/>
      <c r="GA70" s="256"/>
      <c r="GB70" s="256"/>
      <c r="GC70" s="256"/>
      <c r="GD70" s="256"/>
      <c r="GE70" s="256"/>
      <c r="GF70" s="256"/>
      <c r="GG70" s="256"/>
      <c r="GH70" s="256"/>
      <c r="GI70" s="256"/>
      <c r="GJ70" s="256"/>
      <c r="GK70" s="256"/>
      <c r="GL70" s="256"/>
      <c r="GM70" s="256"/>
      <c r="GN70" s="256"/>
      <c r="GO70" s="256"/>
      <c r="GP70" s="256"/>
      <c r="GQ70" s="256"/>
      <c r="GR70" s="256"/>
      <c r="GS70" s="256"/>
      <c r="GT70" s="256"/>
      <c r="GU70" s="256"/>
      <c r="GV70" s="256"/>
      <c r="GW70" s="256"/>
      <c r="GX70" s="256"/>
      <c r="GY70" s="256"/>
      <c r="GZ70" s="256"/>
      <c r="HA70" s="256"/>
      <c r="HB70" s="256"/>
      <c r="HC70" s="256"/>
      <c r="HD70" s="256"/>
      <c r="HE70" s="256"/>
      <c r="HF70" s="256"/>
      <c r="HG70" s="256"/>
      <c r="HH70" s="256"/>
      <c r="HI70" s="256"/>
      <c r="HJ70" s="256"/>
      <c r="HK70" s="256"/>
      <c r="HL70" s="256"/>
      <c r="HM70" s="256"/>
      <c r="HN70" s="256"/>
      <c r="HO70" s="256"/>
      <c r="HP70" s="256"/>
      <c r="HQ70" s="256"/>
      <c r="HR70" s="256"/>
      <c r="HS70" s="256"/>
      <c r="HT70" s="256"/>
      <c r="HU70" s="256"/>
      <c r="HV70" s="256"/>
      <c r="HW70" s="256"/>
      <c r="HX70" s="256"/>
      <c r="HY70" s="256"/>
      <c r="HZ70" s="256"/>
      <c r="IA70" s="256"/>
      <c r="IB70" s="256"/>
      <c r="IC70" s="256"/>
      <c r="ID70" s="256"/>
      <c r="IE70" s="256"/>
      <c r="IF70" s="256"/>
      <c r="IG70" s="256"/>
      <c r="IH70" s="256"/>
      <c r="II70" s="256"/>
      <c r="IJ70" s="256"/>
      <c r="IK70" s="256"/>
      <c r="IL70" s="256"/>
      <c r="IM70" s="256"/>
      <c r="IN70" s="256"/>
      <c r="IO70" s="256"/>
      <c r="IP70" s="256"/>
      <c r="IQ70" s="256"/>
      <c r="IR70" s="256"/>
      <c r="IS70" s="256"/>
      <c r="IT70" s="256"/>
      <c r="IU70" s="256"/>
      <c r="IV70" s="256"/>
      <c r="IW70" s="256"/>
      <c r="IX70" s="256"/>
      <c r="IY70" s="256"/>
      <c r="IZ70" s="256"/>
      <c r="JA70" s="256"/>
      <c r="JB70" s="256"/>
      <c r="JC70" s="256"/>
      <c r="JD70" s="256"/>
      <c r="JE70" s="256"/>
      <c r="JF70" s="256"/>
      <c r="JG70" s="256"/>
      <c r="JH70" s="256"/>
      <c r="JI70" s="256"/>
      <c r="JJ70" s="256"/>
      <c r="JK70" s="256"/>
      <c r="JL70" s="256"/>
      <c r="JM70" s="256"/>
      <c r="JN70" s="256"/>
      <c r="JO70" s="256"/>
      <c r="JP70" s="256"/>
      <c r="JQ70" s="256"/>
      <c r="JR70" s="256"/>
      <c r="JS70" s="256"/>
      <c r="JT70" s="256"/>
      <c r="JU70" s="256"/>
      <c r="JV70" s="256"/>
      <c r="JW70" s="256"/>
      <c r="JX70" s="256"/>
      <c r="JY70" s="256"/>
      <c r="JZ70" s="256"/>
      <c r="KA70" s="256"/>
      <c r="KB70" s="256"/>
      <c r="KC70" s="256"/>
      <c r="KD70" s="256"/>
      <c r="KE70" s="256"/>
      <c r="KF70" s="256"/>
      <c r="KG70" s="256"/>
      <c r="KH70" s="256"/>
      <c r="KI70" s="256"/>
      <c r="KJ70" s="256"/>
      <c r="KK70" s="256"/>
      <c r="KL70" s="256"/>
      <c r="KM70" s="256"/>
      <c r="KN70" s="256"/>
      <c r="KO70" s="256"/>
      <c r="KP70" s="256"/>
      <c r="KQ70" s="256"/>
      <c r="KR70" s="256"/>
      <c r="KS70" s="256"/>
      <c r="KT70" s="256"/>
      <c r="KU70" s="256"/>
      <c r="KV70" s="256"/>
      <c r="KW70" s="256"/>
      <c r="KX70" s="256"/>
      <c r="KY70" s="256"/>
      <c r="KZ70" s="256"/>
      <c r="LA70" s="256"/>
      <c r="LB70" s="256"/>
      <c r="LC70" s="256"/>
      <c r="LD70" s="256"/>
      <c r="LE70" s="256"/>
      <c r="LF70" s="256"/>
      <c r="LG70" s="256"/>
      <c r="LH70" s="256"/>
      <c r="LI70" s="256"/>
      <c r="LJ70" s="256"/>
      <c r="LK70" s="256"/>
      <c r="LL70" s="256"/>
      <c r="LM70" s="256"/>
      <c r="LN70" s="256"/>
      <c r="LO70" s="256"/>
      <c r="LP70" s="256"/>
      <c r="LQ70" s="256"/>
      <c r="LR70" s="256"/>
      <c r="LS70" s="256"/>
      <c r="LT70" s="256"/>
      <c r="LU70" s="256"/>
      <c r="LV70" s="256"/>
      <c r="LW70" s="256"/>
      <c r="LX70" s="256"/>
      <c r="LY70" s="256"/>
      <c r="LZ70" s="256"/>
      <c r="MA70" s="256"/>
      <c r="MB70" s="256"/>
      <c r="MC70" s="256"/>
      <c r="MD70" s="256"/>
      <c r="ME70" s="256"/>
      <c r="MF70" s="256"/>
      <c r="MG70" s="256"/>
      <c r="MH70" s="256"/>
      <c r="MI70" s="256"/>
      <c r="MJ70" s="256"/>
      <c r="MK70" s="256"/>
      <c r="ML70" s="256"/>
      <c r="MM70" s="256"/>
      <c r="MN70" s="256"/>
      <c r="MO70" s="256"/>
      <c r="MP70" s="256"/>
      <c r="MQ70" s="256"/>
      <c r="MR70" s="256"/>
      <c r="MS70" s="256"/>
      <c r="MT70" s="256"/>
      <c r="MU70" s="256"/>
      <c r="MV70" s="256"/>
      <c r="MW70" s="256"/>
      <c r="MX70" s="256"/>
      <c r="MY70" s="256"/>
      <c r="MZ70" s="256"/>
      <c r="NA70" s="256"/>
      <c r="NB70" s="256"/>
      <c r="NC70" s="256"/>
      <c r="ND70" s="256"/>
      <c r="NE70" s="256"/>
      <c r="NF70" s="256"/>
      <c r="NG70" s="256"/>
      <c r="NH70" s="256"/>
      <c r="NI70" s="256"/>
      <c r="NJ70" s="256"/>
      <c r="NK70" s="256"/>
      <c r="NL70" s="256"/>
      <c r="NM70" s="256"/>
      <c r="NN70" s="256"/>
      <c r="NO70" s="256"/>
      <c r="NP70" s="256"/>
      <c r="NQ70" s="256"/>
      <c r="NR70" s="256"/>
      <c r="NS70" s="256"/>
      <c r="NT70" s="256"/>
      <c r="NU70" s="256"/>
      <c r="NV70" s="256"/>
      <c r="NW70" s="256"/>
      <c r="NX70" s="256"/>
      <c r="NY70" s="256"/>
      <c r="NZ70" s="256"/>
      <c r="OA70" s="256"/>
      <c r="OB70" s="256"/>
      <c r="OC70" s="256"/>
      <c r="OD70" s="256"/>
      <c r="OE70" s="256"/>
      <c r="OF70" s="256"/>
      <c r="OG70" s="256"/>
      <c r="OH70" s="256"/>
      <c r="OI70" s="256"/>
      <c r="OJ70" s="256"/>
      <c r="OK70" s="256"/>
      <c r="OL70" s="256"/>
      <c r="OM70" s="256"/>
      <c r="ON70" s="256"/>
      <c r="OO70" s="256"/>
      <c r="OP70" s="256"/>
      <c r="OQ70" s="256"/>
      <c r="OR70" s="256"/>
      <c r="OS70" s="256"/>
      <c r="OT70" s="256"/>
      <c r="OU70" s="256"/>
      <c r="OV70" s="256"/>
      <c r="OW70" s="256"/>
      <c r="OX70" s="256"/>
      <c r="OY70" s="256"/>
      <c r="OZ70" s="256"/>
      <c r="PA70" s="256"/>
      <c r="PB70" s="256"/>
      <c r="PC70" s="256"/>
      <c r="PD70" s="256"/>
      <c r="PE70" s="256"/>
      <c r="PF70" s="256"/>
      <c r="PG70" s="256"/>
      <c r="PH70" s="256"/>
      <c r="PI70" s="256"/>
      <c r="PJ70" s="256"/>
      <c r="PK70" s="256"/>
      <c r="PL70" s="256"/>
      <c r="PM70" s="256"/>
      <c r="PN70" s="256"/>
      <c r="PO70" s="256"/>
      <c r="PP70" s="256"/>
      <c r="PQ70" s="256"/>
      <c r="PR70" s="256"/>
      <c r="PS70" s="256"/>
      <c r="PT70" s="256"/>
      <c r="PU70" s="256"/>
      <c r="PV70" s="256"/>
      <c r="PW70" s="256"/>
      <c r="PX70" s="256"/>
      <c r="PY70" s="256"/>
      <c r="PZ70" s="256"/>
      <c r="QA70" s="256"/>
      <c r="QB70" s="256"/>
      <c r="QC70" s="256"/>
      <c r="QD70" s="256"/>
      <c r="QE70" s="256"/>
      <c r="QF70" s="256"/>
      <c r="QG70" s="256"/>
      <c r="QH70" s="256"/>
    </row>
    <row r="71" spans="1:450" s="255" customFormat="1" x14ac:dyDescent="0.25">
      <c r="A71" s="249"/>
      <c r="B71" s="249" t="s">
        <v>262</v>
      </c>
      <c r="C71" s="249" t="s">
        <v>216</v>
      </c>
      <c r="D71" s="250">
        <v>368</v>
      </c>
      <c r="E71" s="251">
        <v>0.75</v>
      </c>
      <c r="F71" s="250">
        <f>E71*D71</f>
        <v>276</v>
      </c>
      <c r="G71" s="251">
        <v>0.25</v>
      </c>
      <c r="H71" s="250">
        <f t="shared" si="9"/>
        <v>92</v>
      </c>
      <c r="I71" s="252"/>
      <c r="J71" s="253">
        <f t="shared" si="10"/>
        <v>3312</v>
      </c>
      <c r="K71" s="254"/>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256"/>
      <c r="CH71" s="256"/>
      <c r="CI71" s="256"/>
      <c r="CJ71" s="256"/>
      <c r="CK71" s="256"/>
      <c r="CL71" s="256"/>
      <c r="CM71" s="256"/>
      <c r="CN71" s="256"/>
      <c r="CO71" s="256"/>
      <c r="CP71" s="256"/>
      <c r="CQ71" s="256"/>
      <c r="CR71" s="256"/>
      <c r="CS71" s="256"/>
      <c r="CT71" s="256"/>
      <c r="CU71" s="256"/>
      <c r="CV71" s="256"/>
      <c r="CW71" s="256"/>
      <c r="CX71" s="256"/>
      <c r="CY71" s="256"/>
      <c r="CZ71" s="256"/>
      <c r="DA71" s="256"/>
      <c r="DB71" s="256"/>
      <c r="DC71" s="256"/>
      <c r="DD71" s="256"/>
      <c r="DE71" s="256"/>
      <c r="DF71" s="256"/>
      <c r="DG71" s="256"/>
      <c r="DH71" s="256"/>
      <c r="DI71" s="256"/>
      <c r="DJ71" s="256"/>
      <c r="DK71" s="256"/>
      <c r="DL71" s="256"/>
      <c r="DM71" s="256"/>
      <c r="DN71" s="256"/>
      <c r="DO71" s="256"/>
      <c r="DP71" s="256"/>
      <c r="DQ71" s="256"/>
      <c r="DR71" s="256"/>
      <c r="DS71" s="256"/>
      <c r="DT71" s="256"/>
      <c r="DU71" s="256"/>
      <c r="DV71" s="256"/>
      <c r="DW71" s="256"/>
      <c r="DX71" s="256"/>
      <c r="DY71" s="256"/>
      <c r="DZ71" s="256"/>
      <c r="EA71" s="256"/>
      <c r="EB71" s="256"/>
      <c r="EC71" s="256"/>
      <c r="ED71" s="256"/>
      <c r="EE71" s="256"/>
      <c r="EF71" s="256"/>
      <c r="EG71" s="256"/>
      <c r="EH71" s="256"/>
      <c r="EI71" s="256"/>
      <c r="EJ71" s="256"/>
      <c r="EK71" s="256"/>
      <c r="EL71" s="256"/>
      <c r="EM71" s="256"/>
      <c r="EN71" s="256"/>
      <c r="EO71" s="256"/>
      <c r="EP71" s="256"/>
      <c r="EQ71" s="256"/>
      <c r="ER71" s="256"/>
      <c r="ES71" s="256"/>
      <c r="ET71" s="256"/>
      <c r="EU71" s="256"/>
      <c r="EV71" s="256"/>
      <c r="EW71" s="256"/>
      <c r="EX71" s="256"/>
      <c r="EY71" s="256"/>
      <c r="EZ71" s="256"/>
      <c r="FA71" s="256"/>
      <c r="FB71" s="256"/>
      <c r="FC71" s="256"/>
      <c r="FD71" s="256"/>
      <c r="FE71" s="256"/>
      <c r="FF71" s="256"/>
      <c r="FG71" s="256"/>
      <c r="FH71" s="256"/>
      <c r="FI71" s="256"/>
      <c r="FJ71" s="256"/>
      <c r="FK71" s="256"/>
      <c r="FL71" s="256"/>
      <c r="FM71" s="256"/>
      <c r="FN71" s="256"/>
      <c r="FO71" s="256"/>
      <c r="FP71" s="256"/>
      <c r="FQ71" s="256"/>
      <c r="FR71" s="256"/>
      <c r="FS71" s="256"/>
      <c r="FT71" s="256"/>
      <c r="FU71" s="256"/>
      <c r="FV71" s="256"/>
      <c r="FW71" s="256"/>
      <c r="FX71" s="256"/>
      <c r="FY71" s="256"/>
      <c r="FZ71" s="256"/>
      <c r="GA71" s="256"/>
      <c r="GB71" s="256"/>
      <c r="GC71" s="256"/>
      <c r="GD71" s="256"/>
      <c r="GE71" s="256"/>
      <c r="GF71" s="256"/>
      <c r="GG71" s="256"/>
      <c r="GH71" s="256"/>
      <c r="GI71" s="256"/>
      <c r="GJ71" s="256"/>
      <c r="GK71" s="256"/>
      <c r="GL71" s="256"/>
      <c r="GM71" s="256"/>
      <c r="GN71" s="256"/>
      <c r="GO71" s="256"/>
      <c r="GP71" s="256"/>
      <c r="GQ71" s="256"/>
      <c r="GR71" s="256"/>
      <c r="GS71" s="256"/>
      <c r="GT71" s="256"/>
      <c r="GU71" s="256"/>
      <c r="GV71" s="256"/>
      <c r="GW71" s="256"/>
      <c r="GX71" s="256"/>
      <c r="GY71" s="256"/>
      <c r="GZ71" s="256"/>
      <c r="HA71" s="256"/>
      <c r="HB71" s="256"/>
      <c r="HC71" s="256"/>
      <c r="HD71" s="256"/>
      <c r="HE71" s="256"/>
      <c r="HF71" s="256"/>
      <c r="HG71" s="256"/>
      <c r="HH71" s="256"/>
      <c r="HI71" s="256"/>
      <c r="HJ71" s="256"/>
      <c r="HK71" s="256"/>
      <c r="HL71" s="256"/>
      <c r="HM71" s="256"/>
      <c r="HN71" s="256"/>
      <c r="HO71" s="256"/>
      <c r="HP71" s="256"/>
      <c r="HQ71" s="256"/>
      <c r="HR71" s="256"/>
      <c r="HS71" s="256"/>
      <c r="HT71" s="256"/>
      <c r="HU71" s="256"/>
      <c r="HV71" s="256"/>
      <c r="HW71" s="256"/>
      <c r="HX71" s="256"/>
      <c r="HY71" s="256"/>
      <c r="HZ71" s="256"/>
      <c r="IA71" s="256"/>
      <c r="IB71" s="256"/>
      <c r="IC71" s="256"/>
      <c r="ID71" s="256"/>
      <c r="IE71" s="256"/>
      <c r="IF71" s="256"/>
      <c r="IG71" s="256"/>
      <c r="IH71" s="256"/>
      <c r="II71" s="256"/>
      <c r="IJ71" s="256"/>
      <c r="IK71" s="256"/>
      <c r="IL71" s="256"/>
      <c r="IM71" s="256"/>
      <c r="IN71" s="256"/>
      <c r="IO71" s="256"/>
      <c r="IP71" s="256"/>
      <c r="IQ71" s="256"/>
      <c r="IR71" s="256"/>
      <c r="IS71" s="256"/>
      <c r="IT71" s="256"/>
      <c r="IU71" s="256"/>
      <c r="IV71" s="256"/>
      <c r="IW71" s="256"/>
      <c r="IX71" s="256"/>
      <c r="IY71" s="256"/>
      <c r="IZ71" s="256"/>
      <c r="JA71" s="256"/>
      <c r="JB71" s="256"/>
      <c r="JC71" s="256"/>
      <c r="JD71" s="256"/>
      <c r="JE71" s="256"/>
      <c r="JF71" s="256"/>
      <c r="JG71" s="256"/>
      <c r="JH71" s="256"/>
      <c r="JI71" s="256"/>
      <c r="JJ71" s="256"/>
      <c r="JK71" s="256"/>
      <c r="JL71" s="256"/>
      <c r="JM71" s="256"/>
      <c r="JN71" s="256"/>
      <c r="JO71" s="256"/>
      <c r="JP71" s="256"/>
      <c r="JQ71" s="256"/>
      <c r="JR71" s="256"/>
      <c r="JS71" s="256"/>
      <c r="JT71" s="256"/>
      <c r="JU71" s="256"/>
      <c r="JV71" s="256"/>
      <c r="JW71" s="256"/>
      <c r="JX71" s="256"/>
      <c r="JY71" s="256"/>
      <c r="JZ71" s="256"/>
      <c r="KA71" s="256"/>
      <c r="KB71" s="256"/>
      <c r="KC71" s="256"/>
      <c r="KD71" s="256"/>
      <c r="KE71" s="256"/>
      <c r="KF71" s="256"/>
      <c r="KG71" s="256"/>
      <c r="KH71" s="256"/>
      <c r="KI71" s="256"/>
      <c r="KJ71" s="256"/>
      <c r="KK71" s="256"/>
      <c r="KL71" s="256"/>
      <c r="KM71" s="256"/>
      <c r="KN71" s="256"/>
      <c r="KO71" s="256"/>
      <c r="KP71" s="256"/>
      <c r="KQ71" s="256"/>
      <c r="KR71" s="256"/>
      <c r="KS71" s="256"/>
      <c r="KT71" s="256"/>
      <c r="KU71" s="256"/>
      <c r="KV71" s="256"/>
      <c r="KW71" s="256"/>
      <c r="KX71" s="256"/>
      <c r="KY71" s="256"/>
      <c r="KZ71" s="256"/>
      <c r="LA71" s="256"/>
      <c r="LB71" s="256"/>
      <c r="LC71" s="256"/>
      <c r="LD71" s="256"/>
      <c r="LE71" s="256"/>
      <c r="LF71" s="256"/>
      <c r="LG71" s="256"/>
      <c r="LH71" s="256"/>
      <c r="LI71" s="256"/>
      <c r="LJ71" s="256"/>
      <c r="LK71" s="256"/>
      <c r="LL71" s="256"/>
      <c r="LM71" s="256"/>
      <c r="LN71" s="256"/>
      <c r="LO71" s="256"/>
      <c r="LP71" s="256"/>
      <c r="LQ71" s="256"/>
      <c r="LR71" s="256"/>
      <c r="LS71" s="256"/>
      <c r="LT71" s="256"/>
      <c r="LU71" s="256"/>
      <c r="LV71" s="256"/>
      <c r="LW71" s="256"/>
      <c r="LX71" s="256"/>
      <c r="LY71" s="256"/>
      <c r="LZ71" s="256"/>
      <c r="MA71" s="256"/>
      <c r="MB71" s="256"/>
      <c r="MC71" s="256"/>
      <c r="MD71" s="256"/>
      <c r="ME71" s="256"/>
      <c r="MF71" s="256"/>
      <c r="MG71" s="256"/>
      <c r="MH71" s="256"/>
      <c r="MI71" s="256"/>
      <c r="MJ71" s="256"/>
      <c r="MK71" s="256"/>
      <c r="ML71" s="256"/>
      <c r="MM71" s="256"/>
      <c r="MN71" s="256"/>
      <c r="MO71" s="256"/>
      <c r="MP71" s="256"/>
      <c r="MQ71" s="256"/>
      <c r="MR71" s="256"/>
      <c r="MS71" s="256"/>
      <c r="MT71" s="256"/>
      <c r="MU71" s="256"/>
      <c r="MV71" s="256"/>
      <c r="MW71" s="256"/>
      <c r="MX71" s="256"/>
      <c r="MY71" s="256"/>
      <c r="MZ71" s="256"/>
      <c r="NA71" s="256"/>
      <c r="NB71" s="256"/>
      <c r="NC71" s="256"/>
      <c r="ND71" s="256"/>
      <c r="NE71" s="256"/>
      <c r="NF71" s="256"/>
      <c r="NG71" s="256"/>
      <c r="NH71" s="256"/>
      <c r="NI71" s="256"/>
      <c r="NJ71" s="256"/>
      <c r="NK71" s="256"/>
      <c r="NL71" s="256"/>
      <c r="NM71" s="256"/>
      <c r="NN71" s="256"/>
      <c r="NO71" s="256"/>
      <c r="NP71" s="256"/>
      <c r="NQ71" s="256"/>
      <c r="NR71" s="256"/>
      <c r="NS71" s="256"/>
      <c r="NT71" s="256"/>
      <c r="NU71" s="256"/>
      <c r="NV71" s="256"/>
      <c r="NW71" s="256"/>
      <c r="NX71" s="256"/>
      <c r="NY71" s="256"/>
      <c r="NZ71" s="256"/>
      <c r="OA71" s="256"/>
      <c r="OB71" s="256"/>
      <c r="OC71" s="256"/>
      <c r="OD71" s="256"/>
      <c r="OE71" s="256"/>
      <c r="OF71" s="256"/>
      <c r="OG71" s="256"/>
      <c r="OH71" s="256"/>
      <c r="OI71" s="256"/>
      <c r="OJ71" s="256"/>
      <c r="OK71" s="256"/>
      <c r="OL71" s="256"/>
      <c r="OM71" s="256"/>
      <c r="ON71" s="256"/>
      <c r="OO71" s="256"/>
      <c r="OP71" s="256"/>
      <c r="OQ71" s="256"/>
      <c r="OR71" s="256"/>
      <c r="OS71" s="256"/>
      <c r="OT71" s="256"/>
      <c r="OU71" s="256"/>
      <c r="OV71" s="256"/>
      <c r="OW71" s="256"/>
      <c r="OX71" s="256"/>
      <c r="OY71" s="256"/>
      <c r="OZ71" s="256"/>
      <c r="PA71" s="256"/>
      <c r="PB71" s="256"/>
      <c r="PC71" s="256"/>
      <c r="PD71" s="256"/>
      <c r="PE71" s="256"/>
      <c r="PF71" s="256"/>
      <c r="PG71" s="256"/>
      <c r="PH71" s="256"/>
      <c r="PI71" s="256"/>
      <c r="PJ71" s="256"/>
      <c r="PK71" s="256"/>
      <c r="PL71" s="256"/>
      <c r="PM71" s="256"/>
      <c r="PN71" s="256"/>
      <c r="PO71" s="256"/>
      <c r="PP71" s="256"/>
      <c r="PQ71" s="256"/>
      <c r="PR71" s="256"/>
      <c r="PS71" s="256"/>
      <c r="PT71" s="256"/>
      <c r="PU71" s="256"/>
      <c r="PV71" s="256"/>
      <c r="PW71" s="256"/>
      <c r="PX71" s="256"/>
      <c r="PY71" s="256"/>
      <c r="PZ71" s="256"/>
      <c r="QA71" s="256"/>
      <c r="QB71" s="256"/>
      <c r="QC71" s="256"/>
      <c r="QD71" s="256"/>
      <c r="QE71" s="256"/>
      <c r="QF71" s="256"/>
      <c r="QG71" s="256"/>
      <c r="QH71" s="256"/>
    </row>
    <row r="72" spans="1:450" s="255" customFormat="1" x14ac:dyDescent="0.25">
      <c r="A72" s="249"/>
      <c r="B72" s="249" t="s">
        <v>264</v>
      </c>
      <c r="C72" s="249" t="s">
        <v>215</v>
      </c>
      <c r="D72" s="250">
        <v>368</v>
      </c>
      <c r="E72" s="251">
        <v>0.75</v>
      </c>
      <c r="F72" s="250">
        <f>E72*D72</f>
        <v>276</v>
      </c>
      <c r="G72" s="251">
        <v>0.25</v>
      </c>
      <c r="H72" s="250">
        <f t="shared" si="9"/>
        <v>92</v>
      </c>
      <c r="I72" s="252"/>
      <c r="J72" s="253">
        <f t="shared" si="10"/>
        <v>3312</v>
      </c>
      <c r="K72" s="254"/>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c r="CI72" s="256"/>
      <c r="CJ72" s="256"/>
      <c r="CK72" s="256"/>
      <c r="CL72" s="256"/>
      <c r="CM72" s="256"/>
      <c r="CN72" s="256"/>
      <c r="CO72" s="256"/>
      <c r="CP72" s="256"/>
      <c r="CQ72" s="256"/>
      <c r="CR72" s="256"/>
      <c r="CS72" s="256"/>
      <c r="CT72" s="256"/>
      <c r="CU72" s="256"/>
      <c r="CV72" s="256"/>
      <c r="CW72" s="256"/>
      <c r="CX72" s="256"/>
      <c r="CY72" s="256"/>
      <c r="CZ72" s="256"/>
      <c r="DA72" s="256"/>
      <c r="DB72" s="256"/>
      <c r="DC72" s="256"/>
      <c r="DD72" s="256"/>
      <c r="DE72" s="256"/>
      <c r="DF72" s="256"/>
      <c r="DG72" s="256"/>
      <c r="DH72" s="256"/>
      <c r="DI72" s="256"/>
      <c r="DJ72" s="256"/>
      <c r="DK72" s="256"/>
      <c r="DL72" s="256"/>
      <c r="DM72" s="256"/>
      <c r="DN72" s="256"/>
      <c r="DO72" s="256"/>
      <c r="DP72" s="256"/>
      <c r="DQ72" s="256"/>
      <c r="DR72" s="256"/>
      <c r="DS72" s="256"/>
      <c r="DT72" s="256"/>
      <c r="DU72" s="256"/>
      <c r="DV72" s="256"/>
      <c r="DW72" s="256"/>
      <c r="DX72" s="256"/>
      <c r="DY72" s="256"/>
      <c r="DZ72" s="256"/>
      <c r="EA72" s="256"/>
      <c r="EB72" s="256"/>
      <c r="EC72" s="256"/>
      <c r="ED72" s="256"/>
      <c r="EE72" s="256"/>
      <c r="EF72" s="256"/>
      <c r="EG72" s="256"/>
      <c r="EH72" s="256"/>
      <c r="EI72" s="256"/>
      <c r="EJ72" s="256"/>
      <c r="EK72" s="256"/>
      <c r="EL72" s="256"/>
      <c r="EM72" s="256"/>
      <c r="EN72" s="256"/>
      <c r="EO72" s="256"/>
      <c r="EP72" s="256"/>
      <c r="EQ72" s="256"/>
      <c r="ER72" s="256"/>
      <c r="ES72" s="256"/>
      <c r="ET72" s="256"/>
      <c r="EU72" s="256"/>
      <c r="EV72" s="256"/>
      <c r="EW72" s="256"/>
      <c r="EX72" s="256"/>
      <c r="EY72" s="256"/>
      <c r="EZ72" s="256"/>
      <c r="FA72" s="256"/>
      <c r="FB72" s="256"/>
      <c r="FC72" s="256"/>
      <c r="FD72" s="256"/>
      <c r="FE72" s="256"/>
      <c r="FF72" s="256"/>
      <c r="FG72" s="256"/>
      <c r="FH72" s="256"/>
      <c r="FI72" s="256"/>
      <c r="FJ72" s="256"/>
      <c r="FK72" s="256"/>
      <c r="FL72" s="256"/>
      <c r="FM72" s="256"/>
      <c r="FN72" s="256"/>
      <c r="FO72" s="256"/>
      <c r="FP72" s="256"/>
      <c r="FQ72" s="256"/>
      <c r="FR72" s="256"/>
      <c r="FS72" s="256"/>
      <c r="FT72" s="256"/>
      <c r="FU72" s="256"/>
      <c r="FV72" s="256"/>
      <c r="FW72" s="256"/>
      <c r="FX72" s="256"/>
      <c r="FY72" s="256"/>
      <c r="FZ72" s="256"/>
      <c r="GA72" s="256"/>
      <c r="GB72" s="256"/>
      <c r="GC72" s="256"/>
      <c r="GD72" s="256"/>
      <c r="GE72" s="256"/>
      <c r="GF72" s="256"/>
      <c r="GG72" s="256"/>
      <c r="GH72" s="256"/>
      <c r="GI72" s="256"/>
      <c r="GJ72" s="256"/>
      <c r="GK72" s="256"/>
      <c r="GL72" s="256"/>
      <c r="GM72" s="256"/>
      <c r="GN72" s="256"/>
      <c r="GO72" s="256"/>
      <c r="GP72" s="256"/>
      <c r="GQ72" s="256"/>
      <c r="GR72" s="256"/>
      <c r="GS72" s="256"/>
      <c r="GT72" s="256"/>
      <c r="GU72" s="256"/>
      <c r="GV72" s="256"/>
      <c r="GW72" s="256"/>
      <c r="GX72" s="256"/>
      <c r="GY72" s="256"/>
      <c r="GZ72" s="256"/>
      <c r="HA72" s="256"/>
      <c r="HB72" s="256"/>
      <c r="HC72" s="256"/>
      <c r="HD72" s="256"/>
      <c r="HE72" s="256"/>
      <c r="HF72" s="256"/>
      <c r="HG72" s="256"/>
      <c r="HH72" s="256"/>
      <c r="HI72" s="256"/>
      <c r="HJ72" s="256"/>
      <c r="HK72" s="256"/>
      <c r="HL72" s="256"/>
      <c r="HM72" s="256"/>
      <c r="HN72" s="256"/>
      <c r="HO72" s="256"/>
      <c r="HP72" s="256"/>
      <c r="HQ72" s="256"/>
      <c r="HR72" s="256"/>
      <c r="HS72" s="256"/>
      <c r="HT72" s="256"/>
      <c r="HU72" s="256"/>
      <c r="HV72" s="256"/>
      <c r="HW72" s="256"/>
      <c r="HX72" s="256"/>
      <c r="HY72" s="256"/>
      <c r="HZ72" s="256"/>
      <c r="IA72" s="256"/>
      <c r="IB72" s="256"/>
      <c r="IC72" s="256"/>
      <c r="ID72" s="256"/>
      <c r="IE72" s="256"/>
      <c r="IF72" s="256"/>
      <c r="IG72" s="256"/>
      <c r="IH72" s="256"/>
      <c r="II72" s="256"/>
      <c r="IJ72" s="256"/>
      <c r="IK72" s="256"/>
      <c r="IL72" s="256"/>
      <c r="IM72" s="256"/>
      <c r="IN72" s="256"/>
      <c r="IO72" s="256"/>
      <c r="IP72" s="256"/>
      <c r="IQ72" s="256"/>
      <c r="IR72" s="256"/>
      <c r="IS72" s="256"/>
      <c r="IT72" s="256"/>
      <c r="IU72" s="256"/>
      <c r="IV72" s="256"/>
      <c r="IW72" s="256"/>
      <c r="IX72" s="256"/>
      <c r="IY72" s="256"/>
      <c r="IZ72" s="256"/>
      <c r="JA72" s="256"/>
      <c r="JB72" s="256"/>
      <c r="JC72" s="256"/>
      <c r="JD72" s="256"/>
      <c r="JE72" s="256"/>
      <c r="JF72" s="256"/>
      <c r="JG72" s="256"/>
      <c r="JH72" s="256"/>
      <c r="JI72" s="256"/>
      <c r="JJ72" s="256"/>
      <c r="JK72" s="256"/>
      <c r="JL72" s="256"/>
      <c r="JM72" s="256"/>
      <c r="JN72" s="256"/>
      <c r="JO72" s="256"/>
      <c r="JP72" s="256"/>
      <c r="JQ72" s="256"/>
      <c r="JR72" s="256"/>
      <c r="JS72" s="256"/>
      <c r="JT72" s="256"/>
      <c r="JU72" s="256"/>
      <c r="JV72" s="256"/>
      <c r="JW72" s="256"/>
      <c r="JX72" s="256"/>
      <c r="JY72" s="256"/>
      <c r="JZ72" s="256"/>
      <c r="KA72" s="256"/>
      <c r="KB72" s="256"/>
      <c r="KC72" s="256"/>
      <c r="KD72" s="256"/>
      <c r="KE72" s="256"/>
      <c r="KF72" s="256"/>
      <c r="KG72" s="256"/>
      <c r="KH72" s="256"/>
      <c r="KI72" s="256"/>
      <c r="KJ72" s="256"/>
      <c r="KK72" s="256"/>
      <c r="KL72" s="256"/>
      <c r="KM72" s="256"/>
      <c r="KN72" s="256"/>
      <c r="KO72" s="256"/>
      <c r="KP72" s="256"/>
      <c r="KQ72" s="256"/>
      <c r="KR72" s="256"/>
      <c r="KS72" s="256"/>
      <c r="KT72" s="256"/>
      <c r="KU72" s="256"/>
      <c r="KV72" s="256"/>
      <c r="KW72" s="256"/>
      <c r="KX72" s="256"/>
      <c r="KY72" s="256"/>
      <c r="KZ72" s="256"/>
      <c r="LA72" s="256"/>
      <c r="LB72" s="256"/>
      <c r="LC72" s="256"/>
      <c r="LD72" s="256"/>
      <c r="LE72" s="256"/>
      <c r="LF72" s="256"/>
      <c r="LG72" s="256"/>
      <c r="LH72" s="256"/>
      <c r="LI72" s="256"/>
      <c r="LJ72" s="256"/>
      <c r="LK72" s="256"/>
      <c r="LL72" s="256"/>
      <c r="LM72" s="256"/>
      <c r="LN72" s="256"/>
      <c r="LO72" s="256"/>
      <c r="LP72" s="256"/>
      <c r="LQ72" s="256"/>
      <c r="LR72" s="256"/>
      <c r="LS72" s="256"/>
      <c r="LT72" s="256"/>
      <c r="LU72" s="256"/>
      <c r="LV72" s="256"/>
      <c r="LW72" s="256"/>
      <c r="LX72" s="256"/>
      <c r="LY72" s="256"/>
      <c r="LZ72" s="256"/>
      <c r="MA72" s="256"/>
      <c r="MB72" s="256"/>
      <c r="MC72" s="256"/>
      <c r="MD72" s="256"/>
      <c r="ME72" s="256"/>
      <c r="MF72" s="256"/>
      <c r="MG72" s="256"/>
      <c r="MH72" s="256"/>
      <c r="MI72" s="256"/>
      <c r="MJ72" s="256"/>
      <c r="MK72" s="256"/>
      <c r="ML72" s="256"/>
      <c r="MM72" s="256"/>
      <c r="MN72" s="256"/>
      <c r="MO72" s="256"/>
      <c r="MP72" s="256"/>
      <c r="MQ72" s="256"/>
      <c r="MR72" s="256"/>
      <c r="MS72" s="256"/>
      <c r="MT72" s="256"/>
      <c r="MU72" s="256"/>
      <c r="MV72" s="256"/>
      <c r="MW72" s="256"/>
      <c r="MX72" s="256"/>
      <c r="MY72" s="256"/>
      <c r="MZ72" s="256"/>
      <c r="NA72" s="256"/>
      <c r="NB72" s="256"/>
      <c r="NC72" s="256"/>
      <c r="ND72" s="256"/>
      <c r="NE72" s="256"/>
      <c r="NF72" s="256"/>
      <c r="NG72" s="256"/>
      <c r="NH72" s="256"/>
      <c r="NI72" s="256"/>
      <c r="NJ72" s="256"/>
      <c r="NK72" s="256"/>
      <c r="NL72" s="256"/>
      <c r="NM72" s="256"/>
      <c r="NN72" s="256"/>
      <c r="NO72" s="256"/>
      <c r="NP72" s="256"/>
      <c r="NQ72" s="256"/>
      <c r="NR72" s="256"/>
      <c r="NS72" s="256"/>
      <c r="NT72" s="256"/>
      <c r="NU72" s="256"/>
      <c r="NV72" s="256"/>
      <c r="NW72" s="256"/>
      <c r="NX72" s="256"/>
      <c r="NY72" s="256"/>
      <c r="NZ72" s="256"/>
      <c r="OA72" s="256"/>
      <c r="OB72" s="256"/>
      <c r="OC72" s="256"/>
      <c r="OD72" s="256"/>
      <c r="OE72" s="256"/>
      <c r="OF72" s="256"/>
      <c r="OG72" s="256"/>
      <c r="OH72" s="256"/>
      <c r="OI72" s="256"/>
      <c r="OJ72" s="256"/>
      <c r="OK72" s="256"/>
      <c r="OL72" s="256"/>
      <c r="OM72" s="256"/>
      <c r="ON72" s="256"/>
      <c r="OO72" s="256"/>
      <c r="OP72" s="256"/>
      <c r="OQ72" s="256"/>
      <c r="OR72" s="256"/>
      <c r="OS72" s="256"/>
      <c r="OT72" s="256"/>
      <c r="OU72" s="256"/>
      <c r="OV72" s="256"/>
      <c r="OW72" s="256"/>
      <c r="OX72" s="256"/>
      <c r="OY72" s="256"/>
      <c r="OZ72" s="256"/>
      <c r="PA72" s="256"/>
      <c r="PB72" s="256"/>
      <c r="PC72" s="256"/>
      <c r="PD72" s="256"/>
      <c r="PE72" s="256"/>
      <c r="PF72" s="256"/>
      <c r="PG72" s="256"/>
      <c r="PH72" s="256"/>
      <c r="PI72" s="256"/>
      <c r="PJ72" s="256"/>
      <c r="PK72" s="256"/>
      <c r="PL72" s="256"/>
      <c r="PM72" s="256"/>
      <c r="PN72" s="256"/>
      <c r="PO72" s="256"/>
      <c r="PP72" s="256"/>
      <c r="PQ72" s="256"/>
      <c r="PR72" s="256"/>
      <c r="PS72" s="256"/>
      <c r="PT72" s="256"/>
      <c r="PU72" s="256"/>
      <c r="PV72" s="256"/>
      <c r="PW72" s="256"/>
      <c r="PX72" s="256"/>
      <c r="PY72" s="256"/>
      <c r="PZ72" s="256"/>
      <c r="QA72" s="256"/>
      <c r="QB72" s="256"/>
      <c r="QC72" s="256"/>
      <c r="QD72" s="256"/>
      <c r="QE72" s="256"/>
      <c r="QF72" s="256"/>
      <c r="QG72" s="256"/>
      <c r="QH72" s="256"/>
    </row>
    <row r="73" spans="1:450" s="255" customFormat="1" x14ac:dyDescent="0.25">
      <c r="A73" s="249" t="s">
        <v>202</v>
      </c>
      <c r="B73" s="249" t="s">
        <v>1333</v>
      </c>
      <c r="C73" s="249"/>
      <c r="D73" s="250">
        <v>368</v>
      </c>
      <c r="E73" s="251">
        <v>0.75</v>
      </c>
      <c r="F73" s="250">
        <f>D73*E73</f>
        <v>276</v>
      </c>
      <c r="G73" s="251">
        <v>0.25</v>
      </c>
      <c r="H73" s="250">
        <f>G73*D73</f>
        <v>92</v>
      </c>
      <c r="I73" s="252"/>
      <c r="J73" s="253">
        <f>F73*12</f>
        <v>3312</v>
      </c>
      <c r="K73" s="254"/>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c r="CJ73" s="256"/>
      <c r="CK73" s="256"/>
      <c r="CL73" s="256"/>
      <c r="CM73" s="256"/>
      <c r="CN73" s="256"/>
      <c r="CO73" s="256"/>
      <c r="CP73" s="256"/>
      <c r="CQ73" s="256"/>
      <c r="CR73" s="256"/>
      <c r="CS73" s="256"/>
      <c r="CT73" s="256"/>
      <c r="CU73" s="256"/>
      <c r="CV73" s="256"/>
      <c r="CW73" s="256"/>
      <c r="CX73" s="256"/>
      <c r="CY73" s="256"/>
      <c r="CZ73" s="256"/>
      <c r="DA73" s="256"/>
      <c r="DB73" s="256"/>
      <c r="DC73" s="256"/>
      <c r="DD73" s="256"/>
      <c r="DE73" s="256"/>
      <c r="DF73" s="256"/>
      <c r="DG73" s="256"/>
      <c r="DH73" s="256"/>
      <c r="DI73" s="256"/>
      <c r="DJ73" s="256"/>
      <c r="DK73" s="256"/>
      <c r="DL73" s="256"/>
      <c r="DM73" s="256"/>
      <c r="DN73" s="256"/>
      <c r="DO73" s="256"/>
      <c r="DP73" s="256"/>
      <c r="DQ73" s="256"/>
      <c r="DR73" s="256"/>
      <c r="DS73" s="256"/>
      <c r="DT73" s="256"/>
      <c r="DU73" s="256"/>
      <c r="DV73" s="256"/>
      <c r="DW73" s="256"/>
      <c r="DX73" s="256"/>
      <c r="DY73" s="256"/>
      <c r="DZ73" s="256"/>
      <c r="EA73" s="256"/>
      <c r="EB73" s="256"/>
      <c r="EC73" s="256"/>
      <c r="ED73" s="256"/>
      <c r="EE73" s="256"/>
      <c r="EF73" s="256"/>
      <c r="EG73" s="256"/>
      <c r="EH73" s="256"/>
      <c r="EI73" s="256"/>
      <c r="EJ73" s="256"/>
      <c r="EK73" s="256"/>
      <c r="EL73" s="256"/>
      <c r="EM73" s="256"/>
      <c r="EN73" s="256"/>
      <c r="EO73" s="256"/>
      <c r="EP73" s="256"/>
      <c r="EQ73" s="256"/>
      <c r="ER73" s="256"/>
      <c r="ES73" s="256"/>
      <c r="ET73" s="256"/>
      <c r="EU73" s="256"/>
      <c r="EV73" s="256"/>
      <c r="EW73" s="256"/>
      <c r="EX73" s="256"/>
      <c r="EY73" s="256"/>
      <c r="EZ73" s="256"/>
      <c r="FA73" s="256"/>
      <c r="FB73" s="256"/>
      <c r="FC73" s="256"/>
      <c r="FD73" s="256"/>
      <c r="FE73" s="256"/>
      <c r="FF73" s="256"/>
      <c r="FG73" s="256"/>
      <c r="FH73" s="256"/>
      <c r="FI73" s="256"/>
      <c r="FJ73" s="256"/>
      <c r="FK73" s="256"/>
      <c r="FL73" s="256"/>
      <c r="FM73" s="256"/>
      <c r="FN73" s="256"/>
      <c r="FO73" s="256"/>
      <c r="FP73" s="256"/>
      <c r="FQ73" s="256"/>
      <c r="FR73" s="256"/>
      <c r="FS73" s="256"/>
      <c r="FT73" s="256"/>
      <c r="FU73" s="256"/>
      <c r="FV73" s="256"/>
      <c r="FW73" s="256"/>
      <c r="FX73" s="256"/>
      <c r="FY73" s="256"/>
      <c r="FZ73" s="256"/>
      <c r="GA73" s="256"/>
      <c r="GB73" s="256"/>
      <c r="GC73" s="256"/>
      <c r="GD73" s="256"/>
      <c r="GE73" s="256"/>
      <c r="GF73" s="256"/>
      <c r="GG73" s="256"/>
      <c r="GH73" s="256"/>
      <c r="GI73" s="256"/>
      <c r="GJ73" s="256"/>
      <c r="GK73" s="256"/>
      <c r="GL73" s="256"/>
      <c r="GM73" s="256"/>
      <c r="GN73" s="256"/>
      <c r="GO73" s="256"/>
      <c r="GP73" s="256"/>
      <c r="GQ73" s="256"/>
      <c r="GR73" s="256"/>
      <c r="GS73" s="256"/>
      <c r="GT73" s="256"/>
      <c r="GU73" s="256"/>
      <c r="GV73" s="256"/>
      <c r="GW73" s="256"/>
      <c r="GX73" s="256"/>
      <c r="GY73" s="256"/>
      <c r="GZ73" s="256"/>
      <c r="HA73" s="256"/>
      <c r="HB73" s="256"/>
      <c r="HC73" s="256"/>
      <c r="HD73" s="256"/>
      <c r="HE73" s="256"/>
      <c r="HF73" s="256"/>
      <c r="HG73" s="256"/>
      <c r="HH73" s="256"/>
      <c r="HI73" s="256"/>
      <c r="HJ73" s="256"/>
      <c r="HK73" s="256"/>
      <c r="HL73" s="256"/>
      <c r="HM73" s="256"/>
      <c r="HN73" s="256"/>
      <c r="HO73" s="256"/>
      <c r="HP73" s="256"/>
      <c r="HQ73" s="256"/>
      <c r="HR73" s="256"/>
      <c r="HS73" s="256"/>
      <c r="HT73" s="256"/>
      <c r="HU73" s="256"/>
      <c r="HV73" s="256"/>
      <c r="HW73" s="256"/>
      <c r="HX73" s="256"/>
      <c r="HY73" s="256"/>
      <c r="HZ73" s="256"/>
      <c r="IA73" s="256"/>
      <c r="IB73" s="256"/>
      <c r="IC73" s="256"/>
      <c r="ID73" s="256"/>
      <c r="IE73" s="256"/>
      <c r="IF73" s="256"/>
      <c r="IG73" s="256"/>
      <c r="IH73" s="256"/>
      <c r="II73" s="256"/>
      <c r="IJ73" s="256"/>
      <c r="IK73" s="256"/>
      <c r="IL73" s="256"/>
      <c r="IM73" s="256"/>
      <c r="IN73" s="256"/>
      <c r="IO73" s="256"/>
      <c r="IP73" s="256"/>
      <c r="IQ73" s="256"/>
      <c r="IR73" s="256"/>
      <c r="IS73" s="256"/>
      <c r="IT73" s="256"/>
      <c r="IU73" s="256"/>
      <c r="IV73" s="256"/>
      <c r="IW73" s="256"/>
      <c r="IX73" s="256"/>
      <c r="IY73" s="256"/>
      <c r="IZ73" s="256"/>
      <c r="JA73" s="256"/>
      <c r="JB73" s="256"/>
      <c r="JC73" s="256"/>
      <c r="JD73" s="256"/>
      <c r="JE73" s="256"/>
      <c r="JF73" s="256"/>
      <c r="JG73" s="256"/>
      <c r="JH73" s="256"/>
      <c r="JI73" s="256"/>
      <c r="JJ73" s="256"/>
      <c r="JK73" s="256"/>
      <c r="JL73" s="256"/>
      <c r="JM73" s="256"/>
      <c r="JN73" s="256"/>
      <c r="JO73" s="256"/>
      <c r="JP73" s="256"/>
      <c r="JQ73" s="256"/>
      <c r="JR73" s="256"/>
      <c r="JS73" s="256"/>
      <c r="JT73" s="256"/>
      <c r="JU73" s="256"/>
      <c r="JV73" s="256"/>
      <c r="JW73" s="256"/>
      <c r="JX73" s="256"/>
      <c r="JY73" s="256"/>
      <c r="JZ73" s="256"/>
      <c r="KA73" s="256"/>
      <c r="KB73" s="256"/>
      <c r="KC73" s="256"/>
      <c r="KD73" s="256"/>
      <c r="KE73" s="256"/>
      <c r="KF73" s="256"/>
      <c r="KG73" s="256"/>
      <c r="KH73" s="256"/>
      <c r="KI73" s="256"/>
      <c r="KJ73" s="256"/>
      <c r="KK73" s="256"/>
      <c r="KL73" s="256"/>
      <c r="KM73" s="256"/>
      <c r="KN73" s="256"/>
      <c r="KO73" s="256"/>
      <c r="KP73" s="256"/>
      <c r="KQ73" s="256"/>
      <c r="KR73" s="256"/>
      <c r="KS73" s="256"/>
      <c r="KT73" s="256"/>
      <c r="KU73" s="256"/>
      <c r="KV73" s="256"/>
      <c r="KW73" s="256"/>
      <c r="KX73" s="256"/>
      <c r="KY73" s="256"/>
      <c r="KZ73" s="256"/>
      <c r="LA73" s="256"/>
      <c r="LB73" s="256"/>
      <c r="LC73" s="256"/>
      <c r="LD73" s="256"/>
      <c r="LE73" s="256"/>
      <c r="LF73" s="256"/>
      <c r="LG73" s="256"/>
      <c r="LH73" s="256"/>
      <c r="LI73" s="256"/>
      <c r="LJ73" s="256"/>
      <c r="LK73" s="256"/>
      <c r="LL73" s="256"/>
      <c r="LM73" s="256"/>
      <c r="LN73" s="256"/>
      <c r="LO73" s="256"/>
      <c r="LP73" s="256"/>
      <c r="LQ73" s="256"/>
      <c r="LR73" s="256"/>
      <c r="LS73" s="256"/>
      <c r="LT73" s="256"/>
      <c r="LU73" s="256"/>
      <c r="LV73" s="256"/>
      <c r="LW73" s="256"/>
      <c r="LX73" s="256"/>
      <c r="LY73" s="256"/>
      <c r="LZ73" s="256"/>
      <c r="MA73" s="256"/>
      <c r="MB73" s="256"/>
      <c r="MC73" s="256"/>
      <c r="MD73" s="256"/>
      <c r="ME73" s="256"/>
      <c r="MF73" s="256"/>
      <c r="MG73" s="256"/>
      <c r="MH73" s="256"/>
      <c r="MI73" s="256"/>
      <c r="MJ73" s="256"/>
      <c r="MK73" s="256"/>
      <c r="ML73" s="256"/>
      <c r="MM73" s="256"/>
      <c r="MN73" s="256"/>
      <c r="MO73" s="256"/>
      <c r="MP73" s="256"/>
      <c r="MQ73" s="256"/>
      <c r="MR73" s="256"/>
      <c r="MS73" s="256"/>
      <c r="MT73" s="256"/>
      <c r="MU73" s="256"/>
      <c r="MV73" s="256"/>
      <c r="MW73" s="256"/>
      <c r="MX73" s="256"/>
      <c r="MY73" s="256"/>
      <c r="MZ73" s="256"/>
      <c r="NA73" s="256"/>
      <c r="NB73" s="256"/>
      <c r="NC73" s="256"/>
      <c r="ND73" s="256"/>
      <c r="NE73" s="256"/>
      <c r="NF73" s="256"/>
      <c r="NG73" s="256"/>
      <c r="NH73" s="256"/>
      <c r="NI73" s="256"/>
      <c r="NJ73" s="256"/>
      <c r="NK73" s="256"/>
      <c r="NL73" s="256"/>
      <c r="NM73" s="256"/>
      <c r="NN73" s="256"/>
      <c r="NO73" s="256"/>
      <c r="NP73" s="256"/>
      <c r="NQ73" s="256"/>
      <c r="NR73" s="256"/>
      <c r="NS73" s="256"/>
      <c r="NT73" s="256"/>
      <c r="NU73" s="256"/>
      <c r="NV73" s="256"/>
      <c r="NW73" s="256"/>
      <c r="NX73" s="256"/>
      <c r="NY73" s="256"/>
      <c r="NZ73" s="256"/>
      <c r="OA73" s="256"/>
      <c r="OB73" s="256"/>
      <c r="OC73" s="256"/>
      <c r="OD73" s="256"/>
      <c r="OE73" s="256"/>
      <c r="OF73" s="256"/>
      <c r="OG73" s="256"/>
      <c r="OH73" s="256"/>
      <c r="OI73" s="256"/>
      <c r="OJ73" s="256"/>
      <c r="OK73" s="256"/>
      <c r="OL73" s="256"/>
      <c r="OM73" s="256"/>
      <c r="ON73" s="256"/>
      <c r="OO73" s="256"/>
      <c r="OP73" s="256"/>
      <c r="OQ73" s="256"/>
      <c r="OR73" s="256"/>
      <c r="OS73" s="256"/>
      <c r="OT73" s="256"/>
      <c r="OU73" s="256"/>
      <c r="OV73" s="256"/>
      <c r="OW73" s="256"/>
      <c r="OX73" s="256"/>
      <c r="OY73" s="256"/>
      <c r="OZ73" s="256"/>
      <c r="PA73" s="256"/>
      <c r="PB73" s="256"/>
      <c r="PC73" s="256"/>
      <c r="PD73" s="256"/>
      <c r="PE73" s="256"/>
      <c r="PF73" s="256"/>
      <c r="PG73" s="256"/>
      <c r="PH73" s="256"/>
      <c r="PI73" s="256"/>
      <c r="PJ73" s="256"/>
      <c r="PK73" s="256"/>
      <c r="PL73" s="256"/>
      <c r="PM73" s="256"/>
      <c r="PN73" s="256"/>
      <c r="PO73" s="256"/>
      <c r="PP73" s="256"/>
      <c r="PQ73" s="256"/>
      <c r="PR73" s="256"/>
      <c r="PS73" s="256"/>
      <c r="PT73" s="256"/>
      <c r="PU73" s="256"/>
      <c r="PV73" s="256"/>
      <c r="PW73" s="256"/>
      <c r="PX73" s="256"/>
      <c r="PY73" s="256"/>
      <c r="PZ73" s="256"/>
      <c r="QA73" s="256"/>
      <c r="QB73" s="256"/>
      <c r="QC73" s="256"/>
      <c r="QD73" s="256"/>
      <c r="QE73" s="256"/>
      <c r="QF73" s="256"/>
      <c r="QG73" s="256"/>
      <c r="QH73" s="256"/>
    </row>
    <row r="74" spans="1:450" s="255" customFormat="1" x14ac:dyDescent="0.25">
      <c r="A74" s="249" t="s">
        <v>202</v>
      </c>
      <c r="B74" s="249" t="s">
        <v>245</v>
      </c>
      <c r="C74" s="249" t="s">
        <v>209</v>
      </c>
      <c r="D74" s="250">
        <v>368</v>
      </c>
      <c r="E74" s="251">
        <v>0.75</v>
      </c>
      <c r="F74" s="250">
        <f>D74*E74</f>
        <v>276</v>
      </c>
      <c r="G74" s="251">
        <v>0.25</v>
      </c>
      <c r="H74" s="250">
        <f t="shared" si="9"/>
        <v>92</v>
      </c>
      <c r="I74" s="252"/>
      <c r="J74" s="253">
        <f t="shared" si="10"/>
        <v>3312</v>
      </c>
      <c r="K74" s="254"/>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c r="CQ74" s="256"/>
      <c r="CR74" s="256"/>
      <c r="CS74" s="256"/>
      <c r="CT74" s="256"/>
      <c r="CU74" s="256"/>
      <c r="CV74" s="256"/>
      <c r="CW74" s="256"/>
      <c r="CX74" s="256"/>
      <c r="CY74" s="256"/>
      <c r="CZ74" s="256"/>
      <c r="DA74" s="256"/>
      <c r="DB74" s="256"/>
      <c r="DC74" s="256"/>
      <c r="DD74" s="256"/>
      <c r="DE74" s="256"/>
      <c r="DF74" s="256"/>
      <c r="DG74" s="256"/>
      <c r="DH74" s="256"/>
      <c r="DI74" s="256"/>
      <c r="DJ74" s="256"/>
      <c r="DK74" s="256"/>
      <c r="DL74" s="256"/>
      <c r="DM74" s="256"/>
      <c r="DN74" s="256"/>
      <c r="DO74" s="256"/>
      <c r="DP74" s="256"/>
      <c r="DQ74" s="256"/>
      <c r="DR74" s="256"/>
      <c r="DS74" s="256"/>
      <c r="DT74" s="256"/>
      <c r="DU74" s="256"/>
      <c r="DV74" s="256"/>
      <c r="DW74" s="256"/>
      <c r="DX74" s="256"/>
      <c r="DY74" s="256"/>
      <c r="DZ74" s="256"/>
      <c r="EA74" s="256"/>
      <c r="EB74" s="256"/>
      <c r="EC74" s="256"/>
      <c r="ED74" s="256"/>
      <c r="EE74" s="256"/>
      <c r="EF74" s="256"/>
      <c r="EG74" s="256"/>
      <c r="EH74" s="256"/>
      <c r="EI74" s="256"/>
      <c r="EJ74" s="256"/>
      <c r="EK74" s="256"/>
      <c r="EL74" s="256"/>
      <c r="EM74" s="256"/>
      <c r="EN74" s="256"/>
      <c r="EO74" s="256"/>
      <c r="EP74" s="256"/>
      <c r="EQ74" s="256"/>
      <c r="ER74" s="256"/>
      <c r="ES74" s="256"/>
      <c r="ET74" s="256"/>
      <c r="EU74" s="256"/>
      <c r="EV74" s="256"/>
      <c r="EW74" s="256"/>
      <c r="EX74" s="256"/>
      <c r="EY74" s="256"/>
      <c r="EZ74" s="256"/>
      <c r="FA74" s="256"/>
      <c r="FB74" s="256"/>
      <c r="FC74" s="256"/>
      <c r="FD74" s="256"/>
      <c r="FE74" s="256"/>
      <c r="FF74" s="256"/>
      <c r="FG74" s="256"/>
      <c r="FH74" s="256"/>
      <c r="FI74" s="256"/>
      <c r="FJ74" s="256"/>
      <c r="FK74" s="256"/>
      <c r="FL74" s="256"/>
      <c r="FM74" s="256"/>
      <c r="FN74" s="256"/>
      <c r="FO74" s="256"/>
      <c r="FP74" s="256"/>
      <c r="FQ74" s="256"/>
      <c r="FR74" s="256"/>
      <c r="FS74" s="256"/>
      <c r="FT74" s="256"/>
      <c r="FU74" s="256"/>
      <c r="FV74" s="256"/>
      <c r="FW74" s="256"/>
      <c r="FX74" s="256"/>
      <c r="FY74" s="256"/>
      <c r="FZ74" s="256"/>
      <c r="GA74" s="256"/>
      <c r="GB74" s="256"/>
      <c r="GC74" s="256"/>
      <c r="GD74" s="256"/>
      <c r="GE74" s="256"/>
      <c r="GF74" s="256"/>
      <c r="GG74" s="256"/>
      <c r="GH74" s="256"/>
      <c r="GI74" s="256"/>
      <c r="GJ74" s="256"/>
      <c r="GK74" s="256"/>
      <c r="GL74" s="256"/>
      <c r="GM74" s="256"/>
      <c r="GN74" s="256"/>
      <c r="GO74" s="256"/>
      <c r="GP74" s="256"/>
      <c r="GQ74" s="256"/>
      <c r="GR74" s="256"/>
      <c r="GS74" s="256"/>
      <c r="GT74" s="256"/>
      <c r="GU74" s="256"/>
      <c r="GV74" s="256"/>
      <c r="GW74" s="256"/>
      <c r="GX74" s="256"/>
      <c r="GY74" s="256"/>
      <c r="GZ74" s="256"/>
      <c r="HA74" s="256"/>
      <c r="HB74" s="256"/>
      <c r="HC74" s="256"/>
      <c r="HD74" s="256"/>
      <c r="HE74" s="256"/>
      <c r="HF74" s="256"/>
      <c r="HG74" s="256"/>
      <c r="HH74" s="256"/>
      <c r="HI74" s="256"/>
      <c r="HJ74" s="256"/>
      <c r="HK74" s="256"/>
      <c r="HL74" s="256"/>
      <c r="HM74" s="256"/>
      <c r="HN74" s="256"/>
      <c r="HO74" s="256"/>
      <c r="HP74" s="256"/>
      <c r="HQ74" s="256"/>
      <c r="HR74" s="256"/>
      <c r="HS74" s="256"/>
      <c r="HT74" s="256"/>
      <c r="HU74" s="256"/>
      <c r="HV74" s="256"/>
      <c r="HW74" s="256"/>
      <c r="HX74" s="256"/>
      <c r="HY74" s="256"/>
      <c r="HZ74" s="256"/>
      <c r="IA74" s="256"/>
      <c r="IB74" s="256"/>
      <c r="IC74" s="256"/>
      <c r="ID74" s="256"/>
      <c r="IE74" s="256"/>
      <c r="IF74" s="256"/>
      <c r="IG74" s="256"/>
      <c r="IH74" s="256"/>
      <c r="II74" s="256"/>
      <c r="IJ74" s="256"/>
      <c r="IK74" s="256"/>
      <c r="IL74" s="256"/>
      <c r="IM74" s="256"/>
      <c r="IN74" s="256"/>
      <c r="IO74" s="256"/>
      <c r="IP74" s="256"/>
      <c r="IQ74" s="256"/>
      <c r="IR74" s="256"/>
      <c r="IS74" s="256"/>
      <c r="IT74" s="256"/>
      <c r="IU74" s="256"/>
      <c r="IV74" s="256"/>
      <c r="IW74" s="256"/>
      <c r="IX74" s="256"/>
      <c r="IY74" s="256"/>
      <c r="IZ74" s="256"/>
      <c r="JA74" s="256"/>
      <c r="JB74" s="256"/>
      <c r="JC74" s="256"/>
      <c r="JD74" s="256"/>
      <c r="JE74" s="256"/>
      <c r="JF74" s="256"/>
      <c r="JG74" s="256"/>
      <c r="JH74" s="256"/>
      <c r="JI74" s="256"/>
      <c r="JJ74" s="256"/>
      <c r="JK74" s="256"/>
      <c r="JL74" s="256"/>
      <c r="JM74" s="256"/>
      <c r="JN74" s="256"/>
      <c r="JO74" s="256"/>
      <c r="JP74" s="256"/>
      <c r="JQ74" s="256"/>
      <c r="JR74" s="256"/>
      <c r="JS74" s="256"/>
      <c r="JT74" s="256"/>
      <c r="JU74" s="256"/>
      <c r="JV74" s="256"/>
      <c r="JW74" s="256"/>
      <c r="JX74" s="256"/>
      <c r="JY74" s="256"/>
      <c r="JZ74" s="256"/>
      <c r="KA74" s="256"/>
      <c r="KB74" s="256"/>
      <c r="KC74" s="256"/>
      <c r="KD74" s="256"/>
      <c r="KE74" s="256"/>
      <c r="KF74" s="256"/>
      <c r="KG74" s="256"/>
      <c r="KH74" s="256"/>
      <c r="KI74" s="256"/>
      <c r="KJ74" s="256"/>
      <c r="KK74" s="256"/>
      <c r="KL74" s="256"/>
      <c r="KM74" s="256"/>
      <c r="KN74" s="256"/>
      <c r="KO74" s="256"/>
      <c r="KP74" s="256"/>
      <c r="KQ74" s="256"/>
      <c r="KR74" s="256"/>
      <c r="KS74" s="256"/>
      <c r="KT74" s="256"/>
      <c r="KU74" s="256"/>
      <c r="KV74" s="256"/>
      <c r="KW74" s="256"/>
      <c r="KX74" s="256"/>
      <c r="KY74" s="256"/>
      <c r="KZ74" s="256"/>
      <c r="LA74" s="256"/>
      <c r="LB74" s="256"/>
      <c r="LC74" s="256"/>
      <c r="LD74" s="256"/>
      <c r="LE74" s="256"/>
      <c r="LF74" s="256"/>
      <c r="LG74" s="256"/>
      <c r="LH74" s="256"/>
      <c r="LI74" s="256"/>
      <c r="LJ74" s="256"/>
      <c r="LK74" s="256"/>
      <c r="LL74" s="256"/>
      <c r="LM74" s="256"/>
      <c r="LN74" s="256"/>
      <c r="LO74" s="256"/>
      <c r="LP74" s="256"/>
      <c r="LQ74" s="256"/>
      <c r="LR74" s="256"/>
      <c r="LS74" s="256"/>
      <c r="LT74" s="256"/>
      <c r="LU74" s="256"/>
      <c r="LV74" s="256"/>
      <c r="LW74" s="256"/>
      <c r="LX74" s="256"/>
      <c r="LY74" s="256"/>
      <c r="LZ74" s="256"/>
      <c r="MA74" s="256"/>
      <c r="MB74" s="256"/>
      <c r="MC74" s="256"/>
      <c r="MD74" s="256"/>
      <c r="ME74" s="256"/>
      <c r="MF74" s="256"/>
      <c r="MG74" s="256"/>
      <c r="MH74" s="256"/>
      <c r="MI74" s="256"/>
      <c r="MJ74" s="256"/>
      <c r="MK74" s="256"/>
      <c r="ML74" s="256"/>
      <c r="MM74" s="256"/>
      <c r="MN74" s="256"/>
      <c r="MO74" s="256"/>
      <c r="MP74" s="256"/>
      <c r="MQ74" s="256"/>
      <c r="MR74" s="256"/>
      <c r="MS74" s="256"/>
      <c r="MT74" s="256"/>
      <c r="MU74" s="256"/>
      <c r="MV74" s="256"/>
      <c r="MW74" s="256"/>
      <c r="MX74" s="256"/>
      <c r="MY74" s="256"/>
      <c r="MZ74" s="256"/>
      <c r="NA74" s="256"/>
      <c r="NB74" s="256"/>
      <c r="NC74" s="256"/>
      <c r="ND74" s="256"/>
      <c r="NE74" s="256"/>
      <c r="NF74" s="256"/>
      <c r="NG74" s="256"/>
      <c r="NH74" s="256"/>
      <c r="NI74" s="256"/>
      <c r="NJ74" s="256"/>
      <c r="NK74" s="256"/>
      <c r="NL74" s="256"/>
      <c r="NM74" s="256"/>
      <c r="NN74" s="256"/>
      <c r="NO74" s="256"/>
      <c r="NP74" s="256"/>
      <c r="NQ74" s="256"/>
      <c r="NR74" s="256"/>
      <c r="NS74" s="256"/>
      <c r="NT74" s="256"/>
      <c r="NU74" s="256"/>
      <c r="NV74" s="256"/>
      <c r="NW74" s="256"/>
      <c r="NX74" s="256"/>
      <c r="NY74" s="256"/>
      <c r="NZ74" s="256"/>
      <c r="OA74" s="256"/>
      <c r="OB74" s="256"/>
      <c r="OC74" s="256"/>
      <c r="OD74" s="256"/>
      <c r="OE74" s="256"/>
      <c r="OF74" s="256"/>
      <c r="OG74" s="256"/>
      <c r="OH74" s="256"/>
      <c r="OI74" s="256"/>
      <c r="OJ74" s="256"/>
      <c r="OK74" s="256"/>
      <c r="OL74" s="256"/>
      <c r="OM74" s="256"/>
      <c r="ON74" s="256"/>
      <c r="OO74" s="256"/>
      <c r="OP74" s="256"/>
      <c r="OQ74" s="256"/>
      <c r="OR74" s="256"/>
      <c r="OS74" s="256"/>
      <c r="OT74" s="256"/>
      <c r="OU74" s="256"/>
      <c r="OV74" s="256"/>
      <c r="OW74" s="256"/>
      <c r="OX74" s="256"/>
      <c r="OY74" s="256"/>
      <c r="OZ74" s="256"/>
      <c r="PA74" s="256"/>
      <c r="PB74" s="256"/>
      <c r="PC74" s="256"/>
      <c r="PD74" s="256"/>
      <c r="PE74" s="256"/>
      <c r="PF74" s="256"/>
      <c r="PG74" s="256"/>
      <c r="PH74" s="256"/>
      <c r="PI74" s="256"/>
      <c r="PJ74" s="256"/>
      <c r="PK74" s="256"/>
      <c r="PL74" s="256"/>
      <c r="PM74" s="256"/>
      <c r="PN74" s="256"/>
      <c r="PO74" s="256"/>
      <c r="PP74" s="256"/>
      <c r="PQ74" s="256"/>
      <c r="PR74" s="256"/>
      <c r="PS74" s="256"/>
      <c r="PT74" s="256"/>
      <c r="PU74" s="256"/>
      <c r="PV74" s="256"/>
      <c r="PW74" s="256"/>
      <c r="PX74" s="256"/>
      <c r="PY74" s="256"/>
      <c r="PZ74" s="256"/>
      <c r="QA74" s="256"/>
      <c r="QB74" s="256"/>
      <c r="QC74" s="256"/>
      <c r="QD74" s="256"/>
      <c r="QE74" s="256"/>
      <c r="QF74" s="256"/>
      <c r="QG74" s="256"/>
      <c r="QH74" s="256"/>
    </row>
    <row r="75" spans="1:450" s="255" customFormat="1" x14ac:dyDescent="0.25">
      <c r="A75" s="249"/>
      <c r="B75" s="249" t="s">
        <v>265</v>
      </c>
      <c r="C75" s="249" t="s">
        <v>215</v>
      </c>
      <c r="D75" s="250">
        <v>368</v>
      </c>
      <c r="E75" s="251">
        <v>0.75</v>
      </c>
      <c r="F75" s="250">
        <f>E75*D75</f>
        <v>276</v>
      </c>
      <c r="G75" s="251">
        <v>0.25</v>
      </c>
      <c r="H75" s="250">
        <f t="shared" si="9"/>
        <v>92</v>
      </c>
      <c r="I75" s="252"/>
      <c r="J75" s="253">
        <f t="shared" si="10"/>
        <v>3312</v>
      </c>
      <c r="K75" s="254"/>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c r="CQ75" s="256"/>
      <c r="CR75" s="256"/>
      <c r="CS75" s="256"/>
      <c r="CT75" s="256"/>
      <c r="CU75" s="256"/>
      <c r="CV75" s="256"/>
      <c r="CW75" s="256"/>
      <c r="CX75" s="256"/>
      <c r="CY75" s="256"/>
      <c r="CZ75" s="256"/>
      <c r="DA75" s="256"/>
      <c r="DB75" s="256"/>
      <c r="DC75" s="256"/>
      <c r="DD75" s="256"/>
      <c r="DE75" s="256"/>
      <c r="DF75" s="256"/>
      <c r="DG75" s="256"/>
      <c r="DH75" s="256"/>
      <c r="DI75" s="256"/>
      <c r="DJ75" s="256"/>
      <c r="DK75" s="256"/>
      <c r="DL75" s="256"/>
      <c r="DM75" s="256"/>
      <c r="DN75" s="256"/>
      <c r="DO75" s="256"/>
      <c r="DP75" s="256"/>
      <c r="DQ75" s="256"/>
      <c r="DR75" s="256"/>
      <c r="DS75" s="256"/>
      <c r="DT75" s="256"/>
      <c r="DU75" s="256"/>
      <c r="DV75" s="256"/>
      <c r="DW75" s="256"/>
      <c r="DX75" s="256"/>
      <c r="DY75" s="256"/>
      <c r="DZ75" s="256"/>
      <c r="EA75" s="256"/>
      <c r="EB75" s="256"/>
      <c r="EC75" s="256"/>
      <c r="ED75" s="256"/>
      <c r="EE75" s="256"/>
      <c r="EF75" s="256"/>
      <c r="EG75" s="256"/>
      <c r="EH75" s="256"/>
      <c r="EI75" s="256"/>
      <c r="EJ75" s="256"/>
      <c r="EK75" s="256"/>
      <c r="EL75" s="256"/>
      <c r="EM75" s="256"/>
      <c r="EN75" s="256"/>
      <c r="EO75" s="256"/>
      <c r="EP75" s="256"/>
      <c r="EQ75" s="256"/>
      <c r="ER75" s="256"/>
      <c r="ES75" s="256"/>
      <c r="ET75" s="256"/>
      <c r="EU75" s="256"/>
      <c r="EV75" s="256"/>
      <c r="EW75" s="256"/>
      <c r="EX75" s="256"/>
      <c r="EY75" s="256"/>
      <c r="EZ75" s="256"/>
      <c r="FA75" s="256"/>
      <c r="FB75" s="256"/>
      <c r="FC75" s="256"/>
      <c r="FD75" s="256"/>
      <c r="FE75" s="256"/>
      <c r="FF75" s="256"/>
      <c r="FG75" s="256"/>
      <c r="FH75" s="256"/>
      <c r="FI75" s="256"/>
      <c r="FJ75" s="256"/>
      <c r="FK75" s="256"/>
      <c r="FL75" s="256"/>
      <c r="FM75" s="256"/>
      <c r="FN75" s="256"/>
      <c r="FO75" s="256"/>
      <c r="FP75" s="256"/>
      <c r="FQ75" s="256"/>
      <c r="FR75" s="256"/>
      <c r="FS75" s="256"/>
      <c r="FT75" s="256"/>
      <c r="FU75" s="256"/>
      <c r="FV75" s="256"/>
      <c r="FW75" s="256"/>
      <c r="FX75" s="256"/>
      <c r="FY75" s="256"/>
      <c r="FZ75" s="256"/>
      <c r="GA75" s="256"/>
      <c r="GB75" s="256"/>
      <c r="GC75" s="256"/>
      <c r="GD75" s="256"/>
      <c r="GE75" s="256"/>
      <c r="GF75" s="256"/>
      <c r="GG75" s="256"/>
      <c r="GH75" s="256"/>
      <c r="GI75" s="256"/>
      <c r="GJ75" s="256"/>
      <c r="GK75" s="256"/>
      <c r="GL75" s="256"/>
      <c r="GM75" s="256"/>
      <c r="GN75" s="256"/>
      <c r="GO75" s="256"/>
      <c r="GP75" s="256"/>
      <c r="GQ75" s="256"/>
      <c r="GR75" s="256"/>
      <c r="GS75" s="256"/>
      <c r="GT75" s="256"/>
      <c r="GU75" s="256"/>
      <c r="GV75" s="256"/>
      <c r="GW75" s="256"/>
      <c r="GX75" s="256"/>
      <c r="GY75" s="256"/>
      <c r="GZ75" s="256"/>
      <c r="HA75" s="256"/>
      <c r="HB75" s="256"/>
      <c r="HC75" s="256"/>
      <c r="HD75" s="256"/>
      <c r="HE75" s="256"/>
      <c r="HF75" s="256"/>
      <c r="HG75" s="256"/>
      <c r="HH75" s="256"/>
      <c r="HI75" s="256"/>
      <c r="HJ75" s="256"/>
      <c r="HK75" s="256"/>
      <c r="HL75" s="256"/>
      <c r="HM75" s="256"/>
      <c r="HN75" s="256"/>
      <c r="HO75" s="256"/>
      <c r="HP75" s="256"/>
      <c r="HQ75" s="256"/>
      <c r="HR75" s="256"/>
      <c r="HS75" s="256"/>
      <c r="HT75" s="256"/>
      <c r="HU75" s="256"/>
      <c r="HV75" s="256"/>
      <c r="HW75" s="256"/>
      <c r="HX75" s="256"/>
      <c r="HY75" s="256"/>
      <c r="HZ75" s="256"/>
      <c r="IA75" s="256"/>
      <c r="IB75" s="256"/>
      <c r="IC75" s="256"/>
      <c r="ID75" s="256"/>
      <c r="IE75" s="256"/>
      <c r="IF75" s="256"/>
      <c r="IG75" s="256"/>
      <c r="IH75" s="256"/>
      <c r="II75" s="256"/>
      <c r="IJ75" s="256"/>
      <c r="IK75" s="256"/>
      <c r="IL75" s="256"/>
      <c r="IM75" s="256"/>
      <c r="IN75" s="256"/>
      <c r="IO75" s="256"/>
      <c r="IP75" s="256"/>
      <c r="IQ75" s="256"/>
      <c r="IR75" s="256"/>
      <c r="IS75" s="256"/>
      <c r="IT75" s="256"/>
      <c r="IU75" s="256"/>
      <c r="IV75" s="256"/>
      <c r="IW75" s="256"/>
      <c r="IX75" s="256"/>
      <c r="IY75" s="256"/>
      <c r="IZ75" s="256"/>
      <c r="JA75" s="256"/>
      <c r="JB75" s="256"/>
      <c r="JC75" s="256"/>
      <c r="JD75" s="256"/>
      <c r="JE75" s="256"/>
      <c r="JF75" s="256"/>
      <c r="JG75" s="256"/>
      <c r="JH75" s="256"/>
      <c r="JI75" s="256"/>
      <c r="JJ75" s="256"/>
      <c r="JK75" s="256"/>
      <c r="JL75" s="256"/>
      <c r="JM75" s="256"/>
      <c r="JN75" s="256"/>
      <c r="JO75" s="256"/>
      <c r="JP75" s="256"/>
      <c r="JQ75" s="256"/>
      <c r="JR75" s="256"/>
      <c r="JS75" s="256"/>
      <c r="JT75" s="256"/>
      <c r="JU75" s="256"/>
      <c r="JV75" s="256"/>
      <c r="JW75" s="256"/>
      <c r="JX75" s="256"/>
      <c r="JY75" s="256"/>
      <c r="JZ75" s="256"/>
      <c r="KA75" s="256"/>
      <c r="KB75" s="256"/>
      <c r="KC75" s="256"/>
      <c r="KD75" s="256"/>
      <c r="KE75" s="256"/>
      <c r="KF75" s="256"/>
      <c r="KG75" s="256"/>
      <c r="KH75" s="256"/>
      <c r="KI75" s="256"/>
      <c r="KJ75" s="256"/>
      <c r="KK75" s="256"/>
      <c r="KL75" s="256"/>
      <c r="KM75" s="256"/>
      <c r="KN75" s="256"/>
      <c r="KO75" s="256"/>
      <c r="KP75" s="256"/>
      <c r="KQ75" s="256"/>
      <c r="KR75" s="256"/>
      <c r="KS75" s="256"/>
      <c r="KT75" s="256"/>
      <c r="KU75" s="256"/>
      <c r="KV75" s="256"/>
      <c r="KW75" s="256"/>
      <c r="KX75" s="256"/>
      <c r="KY75" s="256"/>
      <c r="KZ75" s="256"/>
      <c r="LA75" s="256"/>
      <c r="LB75" s="256"/>
      <c r="LC75" s="256"/>
      <c r="LD75" s="256"/>
      <c r="LE75" s="256"/>
      <c r="LF75" s="256"/>
      <c r="LG75" s="256"/>
      <c r="LH75" s="256"/>
      <c r="LI75" s="256"/>
      <c r="LJ75" s="256"/>
      <c r="LK75" s="256"/>
      <c r="LL75" s="256"/>
      <c r="LM75" s="256"/>
      <c r="LN75" s="256"/>
      <c r="LO75" s="256"/>
      <c r="LP75" s="256"/>
      <c r="LQ75" s="256"/>
      <c r="LR75" s="256"/>
      <c r="LS75" s="256"/>
      <c r="LT75" s="256"/>
      <c r="LU75" s="256"/>
      <c r="LV75" s="256"/>
      <c r="LW75" s="256"/>
      <c r="LX75" s="256"/>
      <c r="LY75" s="256"/>
      <c r="LZ75" s="256"/>
      <c r="MA75" s="256"/>
      <c r="MB75" s="256"/>
      <c r="MC75" s="256"/>
      <c r="MD75" s="256"/>
      <c r="ME75" s="256"/>
      <c r="MF75" s="256"/>
      <c r="MG75" s="256"/>
      <c r="MH75" s="256"/>
      <c r="MI75" s="256"/>
      <c r="MJ75" s="256"/>
      <c r="MK75" s="256"/>
      <c r="ML75" s="256"/>
      <c r="MM75" s="256"/>
      <c r="MN75" s="256"/>
      <c r="MO75" s="256"/>
      <c r="MP75" s="256"/>
      <c r="MQ75" s="256"/>
      <c r="MR75" s="256"/>
      <c r="MS75" s="256"/>
      <c r="MT75" s="256"/>
      <c r="MU75" s="256"/>
      <c r="MV75" s="256"/>
      <c r="MW75" s="256"/>
      <c r="MX75" s="256"/>
      <c r="MY75" s="256"/>
      <c r="MZ75" s="256"/>
      <c r="NA75" s="256"/>
      <c r="NB75" s="256"/>
      <c r="NC75" s="256"/>
      <c r="ND75" s="256"/>
      <c r="NE75" s="256"/>
      <c r="NF75" s="256"/>
      <c r="NG75" s="256"/>
      <c r="NH75" s="256"/>
      <c r="NI75" s="256"/>
      <c r="NJ75" s="256"/>
      <c r="NK75" s="256"/>
      <c r="NL75" s="256"/>
      <c r="NM75" s="256"/>
      <c r="NN75" s="256"/>
      <c r="NO75" s="256"/>
      <c r="NP75" s="256"/>
      <c r="NQ75" s="256"/>
      <c r="NR75" s="256"/>
      <c r="NS75" s="256"/>
      <c r="NT75" s="256"/>
      <c r="NU75" s="256"/>
      <c r="NV75" s="256"/>
      <c r="NW75" s="256"/>
      <c r="NX75" s="256"/>
      <c r="NY75" s="256"/>
      <c r="NZ75" s="256"/>
      <c r="OA75" s="256"/>
      <c r="OB75" s="256"/>
      <c r="OC75" s="256"/>
      <c r="OD75" s="256"/>
      <c r="OE75" s="256"/>
      <c r="OF75" s="256"/>
      <c r="OG75" s="256"/>
      <c r="OH75" s="256"/>
      <c r="OI75" s="256"/>
      <c r="OJ75" s="256"/>
      <c r="OK75" s="256"/>
      <c r="OL75" s="256"/>
      <c r="OM75" s="256"/>
      <c r="ON75" s="256"/>
      <c r="OO75" s="256"/>
      <c r="OP75" s="256"/>
      <c r="OQ75" s="256"/>
      <c r="OR75" s="256"/>
      <c r="OS75" s="256"/>
      <c r="OT75" s="256"/>
      <c r="OU75" s="256"/>
      <c r="OV75" s="256"/>
      <c r="OW75" s="256"/>
      <c r="OX75" s="256"/>
      <c r="OY75" s="256"/>
      <c r="OZ75" s="256"/>
      <c r="PA75" s="256"/>
      <c r="PB75" s="256"/>
      <c r="PC75" s="256"/>
      <c r="PD75" s="256"/>
      <c r="PE75" s="256"/>
      <c r="PF75" s="256"/>
      <c r="PG75" s="256"/>
      <c r="PH75" s="256"/>
      <c r="PI75" s="256"/>
      <c r="PJ75" s="256"/>
      <c r="PK75" s="256"/>
      <c r="PL75" s="256"/>
      <c r="PM75" s="256"/>
      <c r="PN75" s="256"/>
      <c r="PO75" s="256"/>
      <c r="PP75" s="256"/>
      <c r="PQ75" s="256"/>
      <c r="PR75" s="256"/>
      <c r="PS75" s="256"/>
      <c r="PT75" s="256"/>
      <c r="PU75" s="256"/>
      <c r="PV75" s="256"/>
      <c r="PW75" s="256"/>
      <c r="PX75" s="256"/>
      <c r="PY75" s="256"/>
      <c r="PZ75" s="256"/>
      <c r="QA75" s="256"/>
      <c r="QB75" s="256"/>
      <c r="QC75" s="256"/>
      <c r="QD75" s="256"/>
      <c r="QE75" s="256"/>
      <c r="QF75" s="256"/>
      <c r="QG75" s="256"/>
      <c r="QH75" s="256"/>
    </row>
    <row r="76" spans="1:450" s="255" customFormat="1" x14ac:dyDescent="0.25">
      <c r="A76" s="249" t="s">
        <v>202</v>
      </c>
      <c r="B76" s="249" t="s">
        <v>248</v>
      </c>
      <c r="C76" s="249" t="s">
        <v>209</v>
      </c>
      <c r="D76" s="250">
        <v>368</v>
      </c>
      <c r="E76" s="251">
        <v>0.75</v>
      </c>
      <c r="F76" s="250">
        <f>D76*E76</f>
        <v>276</v>
      </c>
      <c r="G76" s="251">
        <v>0.25</v>
      </c>
      <c r="H76" s="250">
        <f t="shared" si="9"/>
        <v>92</v>
      </c>
      <c r="I76" s="252"/>
      <c r="J76" s="253">
        <f t="shared" si="10"/>
        <v>3312</v>
      </c>
      <c r="K76" s="254"/>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c r="CR76" s="256"/>
      <c r="CS76" s="256"/>
      <c r="CT76" s="256"/>
      <c r="CU76" s="256"/>
      <c r="CV76" s="256"/>
      <c r="CW76" s="256"/>
      <c r="CX76" s="256"/>
      <c r="CY76" s="256"/>
      <c r="CZ76" s="256"/>
      <c r="DA76" s="256"/>
      <c r="DB76" s="256"/>
      <c r="DC76" s="256"/>
      <c r="DD76" s="256"/>
      <c r="DE76" s="256"/>
      <c r="DF76" s="256"/>
      <c r="DG76" s="256"/>
      <c r="DH76" s="256"/>
      <c r="DI76" s="256"/>
      <c r="DJ76" s="256"/>
      <c r="DK76" s="256"/>
      <c r="DL76" s="256"/>
      <c r="DM76" s="256"/>
      <c r="DN76" s="256"/>
      <c r="DO76" s="256"/>
      <c r="DP76" s="256"/>
      <c r="DQ76" s="256"/>
      <c r="DR76" s="256"/>
      <c r="DS76" s="256"/>
      <c r="DT76" s="256"/>
      <c r="DU76" s="256"/>
      <c r="DV76" s="256"/>
      <c r="DW76" s="256"/>
      <c r="DX76" s="256"/>
      <c r="DY76" s="256"/>
      <c r="DZ76" s="256"/>
      <c r="EA76" s="256"/>
      <c r="EB76" s="256"/>
      <c r="EC76" s="256"/>
      <c r="ED76" s="256"/>
      <c r="EE76" s="256"/>
      <c r="EF76" s="256"/>
      <c r="EG76" s="256"/>
      <c r="EH76" s="256"/>
      <c r="EI76" s="256"/>
      <c r="EJ76" s="256"/>
      <c r="EK76" s="256"/>
      <c r="EL76" s="256"/>
      <c r="EM76" s="256"/>
      <c r="EN76" s="256"/>
      <c r="EO76" s="256"/>
      <c r="EP76" s="256"/>
      <c r="EQ76" s="256"/>
      <c r="ER76" s="256"/>
      <c r="ES76" s="256"/>
      <c r="ET76" s="256"/>
      <c r="EU76" s="256"/>
      <c r="EV76" s="256"/>
      <c r="EW76" s="256"/>
      <c r="EX76" s="256"/>
      <c r="EY76" s="256"/>
      <c r="EZ76" s="256"/>
      <c r="FA76" s="256"/>
      <c r="FB76" s="256"/>
      <c r="FC76" s="256"/>
      <c r="FD76" s="256"/>
      <c r="FE76" s="256"/>
      <c r="FF76" s="256"/>
      <c r="FG76" s="256"/>
      <c r="FH76" s="256"/>
      <c r="FI76" s="256"/>
      <c r="FJ76" s="256"/>
      <c r="FK76" s="256"/>
      <c r="FL76" s="256"/>
      <c r="FM76" s="256"/>
      <c r="FN76" s="256"/>
      <c r="FO76" s="256"/>
      <c r="FP76" s="256"/>
      <c r="FQ76" s="256"/>
      <c r="FR76" s="256"/>
      <c r="FS76" s="256"/>
      <c r="FT76" s="256"/>
      <c r="FU76" s="256"/>
      <c r="FV76" s="256"/>
      <c r="FW76" s="256"/>
      <c r="FX76" s="256"/>
      <c r="FY76" s="256"/>
      <c r="FZ76" s="256"/>
      <c r="GA76" s="256"/>
      <c r="GB76" s="256"/>
      <c r="GC76" s="256"/>
      <c r="GD76" s="256"/>
      <c r="GE76" s="256"/>
      <c r="GF76" s="256"/>
      <c r="GG76" s="256"/>
      <c r="GH76" s="256"/>
      <c r="GI76" s="256"/>
      <c r="GJ76" s="256"/>
      <c r="GK76" s="256"/>
      <c r="GL76" s="256"/>
      <c r="GM76" s="256"/>
      <c r="GN76" s="256"/>
      <c r="GO76" s="256"/>
      <c r="GP76" s="256"/>
      <c r="GQ76" s="256"/>
      <c r="GR76" s="256"/>
      <c r="GS76" s="256"/>
      <c r="GT76" s="256"/>
      <c r="GU76" s="256"/>
      <c r="GV76" s="256"/>
      <c r="GW76" s="256"/>
      <c r="GX76" s="256"/>
      <c r="GY76" s="256"/>
      <c r="GZ76" s="256"/>
      <c r="HA76" s="256"/>
      <c r="HB76" s="256"/>
      <c r="HC76" s="256"/>
      <c r="HD76" s="256"/>
      <c r="HE76" s="256"/>
      <c r="HF76" s="256"/>
      <c r="HG76" s="256"/>
      <c r="HH76" s="256"/>
      <c r="HI76" s="256"/>
      <c r="HJ76" s="256"/>
      <c r="HK76" s="256"/>
      <c r="HL76" s="256"/>
      <c r="HM76" s="256"/>
      <c r="HN76" s="256"/>
      <c r="HO76" s="256"/>
      <c r="HP76" s="256"/>
      <c r="HQ76" s="256"/>
      <c r="HR76" s="256"/>
      <c r="HS76" s="256"/>
      <c r="HT76" s="256"/>
      <c r="HU76" s="256"/>
      <c r="HV76" s="256"/>
      <c r="HW76" s="256"/>
      <c r="HX76" s="256"/>
      <c r="HY76" s="256"/>
      <c r="HZ76" s="256"/>
      <c r="IA76" s="256"/>
      <c r="IB76" s="256"/>
      <c r="IC76" s="256"/>
      <c r="ID76" s="256"/>
      <c r="IE76" s="256"/>
      <c r="IF76" s="256"/>
      <c r="IG76" s="256"/>
      <c r="IH76" s="256"/>
      <c r="II76" s="256"/>
      <c r="IJ76" s="256"/>
      <c r="IK76" s="256"/>
      <c r="IL76" s="256"/>
      <c r="IM76" s="256"/>
      <c r="IN76" s="256"/>
      <c r="IO76" s="256"/>
      <c r="IP76" s="256"/>
      <c r="IQ76" s="256"/>
      <c r="IR76" s="256"/>
      <c r="IS76" s="256"/>
      <c r="IT76" s="256"/>
      <c r="IU76" s="256"/>
      <c r="IV76" s="256"/>
      <c r="IW76" s="256"/>
      <c r="IX76" s="256"/>
      <c r="IY76" s="256"/>
      <c r="IZ76" s="256"/>
      <c r="JA76" s="256"/>
      <c r="JB76" s="256"/>
      <c r="JC76" s="256"/>
      <c r="JD76" s="256"/>
      <c r="JE76" s="256"/>
      <c r="JF76" s="256"/>
      <c r="JG76" s="256"/>
      <c r="JH76" s="256"/>
      <c r="JI76" s="256"/>
      <c r="JJ76" s="256"/>
      <c r="JK76" s="256"/>
      <c r="JL76" s="256"/>
      <c r="JM76" s="256"/>
      <c r="JN76" s="256"/>
      <c r="JO76" s="256"/>
      <c r="JP76" s="256"/>
      <c r="JQ76" s="256"/>
      <c r="JR76" s="256"/>
      <c r="JS76" s="256"/>
      <c r="JT76" s="256"/>
      <c r="JU76" s="256"/>
      <c r="JV76" s="256"/>
      <c r="JW76" s="256"/>
      <c r="JX76" s="256"/>
      <c r="JY76" s="256"/>
      <c r="JZ76" s="256"/>
      <c r="KA76" s="256"/>
      <c r="KB76" s="256"/>
      <c r="KC76" s="256"/>
      <c r="KD76" s="256"/>
      <c r="KE76" s="256"/>
      <c r="KF76" s="256"/>
      <c r="KG76" s="256"/>
      <c r="KH76" s="256"/>
      <c r="KI76" s="256"/>
      <c r="KJ76" s="256"/>
      <c r="KK76" s="256"/>
      <c r="KL76" s="256"/>
      <c r="KM76" s="256"/>
      <c r="KN76" s="256"/>
      <c r="KO76" s="256"/>
      <c r="KP76" s="256"/>
      <c r="KQ76" s="256"/>
      <c r="KR76" s="256"/>
      <c r="KS76" s="256"/>
      <c r="KT76" s="256"/>
      <c r="KU76" s="256"/>
      <c r="KV76" s="256"/>
      <c r="KW76" s="256"/>
      <c r="KX76" s="256"/>
      <c r="KY76" s="256"/>
      <c r="KZ76" s="256"/>
      <c r="LA76" s="256"/>
      <c r="LB76" s="256"/>
      <c r="LC76" s="256"/>
      <c r="LD76" s="256"/>
      <c r="LE76" s="256"/>
      <c r="LF76" s="256"/>
      <c r="LG76" s="256"/>
      <c r="LH76" s="256"/>
      <c r="LI76" s="256"/>
      <c r="LJ76" s="256"/>
      <c r="LK76" s="256"/>
      <c r="LL76" s="256"/>
      <c r="LM76" s="256"/>
      <c r="LN76" s="256"/>
      <c r="LO76" s="256"/>
      <c r="LP76" s="256"/>
      <c r="LQ76" s="256"/>
      <c r="LR76" s="256"/>
      <c r="LS76" s="256"/>
      <c r="LT76" s="256"/>
      <c r="LU76" s="256"/>
      <c r="LV76" s="256"/>
      <c r="LW76" s="256"/>
      <c r="LX76" s="256"/>
      <c r="LY76" s="256"/>
      <c r="LZ76" s="256"/>
      <c r="MA76" s="256"/>
      <c r="MB76" s="256"/>
      <c r="MC76" s="256"/>
      <c r="MD76" s="256"/>
      <c r="ME76" s="256"/>
      <c r="MF76" s="256"/>
      <c r="MG76" s="256"/>
      <c r="MH76" s="256"/>
      <c r="MI76" s="256"/>
      <c r="MJ76" s="256"/>
      <c r="MK76" s="256"/>
      <c r="ML76" s="256"/>
      <c r="MM76" s="256"/>
      <c r="MN76" s="256"/>
      <c r="MO76" s="256"/>
      <c r="MP76" s="256"/>
      <c r="MQ76" s="256"/>
      <c r="MR76" s="256"/>
      <c r="MS76" s="256"/>
      <c r="MT76" s="256"/>
      <c r="MU76" s="256"/>
      <c r="MV76" s="256"/>
      <c r="MW76" s="256"/>
      <c r="MX76" s="256"/>
      <c r="MY76" s="256"/>
      <c r="MZ76" s="256"/>
      <c r="NA76" s="256"/>
      <c r="NB76" s="256"/>
      <c r="NC76" s="256"/>
      <c r="ND76" s="256"/>
      <c r="NE76" s="256"/>
      <c r="NF76" s="256"/>
      <c r="NG76" s="256"/>
      <c r="NH76" s="256"/>
      <c r="NI76" s="256"/>
      <c r="NJ76" s="256"/>
      <c r="NK76" s="256"/>
      <c r="NL76" s="256"/>
      <c r="NM76" s="256"/>
      <c r="NN76" s="256"/>
      <c r="NO76" s="256"/>
      <c r="NP76" s="256"/>
      <c r="NQ76" s="256"/>
      <c r="NR76" s="256"/>
      <c r="NS76" s="256"/>
      <c r="NT76" s="256"/>
      <c r="NU76" s="256"/>
      <c r="NV76" s="256"/>
      <c r="NW76" s="256"/>
      <c r="NX76" s="256"/>
      <c r="NY76" s="256"/>
      <c r="NZ76" s="256"/>
      <c r="OA76" s="256"/>
      <c r="OB76" s="256"/>
      <c r="OC76" s="256"/>
      <c r="OD76" s="256"/>
      <c r="OE76" s="256"/>
      <c r="OF76" s="256"/>
      <c r="OG76" s="256"/>
      <c r="OH76" s="256"/>
      <c r="OI76" s="256"/>
      <c r="OJ76" s="256"/>
      <c r="OK76" s="256"/>
      <c r="OL76" s="256"/>
      <c r="OM76" s="256"/>
      <c r="ON76" s="256"/>
      <c r="OO76" s="256"/>
      <c r="OP76" s="256"/>
      <c r="OQ76" s="256"/>
      <c r="OR76" s="256"/>
      <c r="OS76" s="256"/>
      <c r="OT76" s="256"/>
      <c r="OU76" s="256"/>
      <c r="OV76" s="256"/>
      <c r="OW76" s="256"/>
      <c r="OX76" s="256"/>
      <c r="OY76" s="256"/>
      <c r="OZ76" s="256"/>
      <c r="PA76" s="256"/>
      <c r="PB76" s="256"/>
      <c r="PC76" s="256"/>
      <c r="PD76" s="256"/>
      <c r="PE76" s="256"/>
      <c r="PF76" s="256"/>
      <c r="PG76" s="256"/>
      <c r="PH76" s="256"/>
      <c r="PI76" s="256"/>
      <c r="PJ76" s="256"/>
      <c r="PK76" s="256"/>
      <c r="PL76" s="256"/>
      <c r="PM76" s="256"/>
      <c r="PN76" s="256"/>
      <c r="PO76" s="256"/>
      <c r="PP76" s="256"/>
      <c r="PQ76" s="256"/>
      <c r="PR76" s="256"/>
      <c r="PS76" s="256"/>
      <c r="PT76" s="256"/>
      <c r="PU76" s="256"/>
      <c r="PV76" s="256"/>
      <c r="PW76" s="256"/>
      <c r="PX76" s="256"/>
      <c r="PY76" s="256"/>
      <c r="PZ76" s="256"/>
      <c r="QA76" s="256"/>
      <c r="QB76" s="256"/>
      <c r="QC76" s="256"/>
      <c r="QD76" s="256"/>
      <c r="QE76" s="256"/>
      <c r="QF76" s="256"/>
      <c r="QG76" s="256"/>
      <c r="QH76" s="256"/>
    </row>
    <row r="77" spans="1:450" s="255" customFormat="1" x14ac:dyDescent="0.25">
      <c r="A77" s="249"/>
      <c r="B77" s="249" t="s">
        <v>266</v>
      </c>
      <c r="C77" s="249" t="s">
        <v>215</v>
      </c>
      <c r="D77" s="250">
        <v>370</v>
      </c>
      <c r="E77" s="251">
        <v>0.75</v>
      </c>
      <c r="F77" s="250">
        <f>E77*D77</f>
        <v>277.5</v>
      </c>
      <c r="G77" s="251">
        <v>0.25</v>
      </c>
      <c r="H77" s="250">
        <f t="shared" si="9"/>
        <v>92.5</v>
      </c>
      <c r="I77" s="252"/>
      <c r="J77" s="253">
        <f t="shared" si="10"/>
        <v>3330</v>
      </c>
      <c r="K77" s="254"/>
      <c r="L77" s="256"/>
      <c r="M77" s="256" t="s">
        <v>2018</v>
      </c>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c r="CQ77" s="256"/>
      <c r="CR77" s="256"/>
      <c r="CS77" s="256"/>
      <c r="CT77" s="256"/>
      <c r="CU77" s="256"/>
      <c r="CV77" s="256"/>
      <c r="CW77" s="256"/>
      <c r="CX77" s="256"/>
      <c r="CY77" s="256"/>
      <c r="CZ77" s="256"/>
      <c r="DA77" s="256"/>
      <c r="DB77" s="256"/>
      <c r="DC77" s="256"/>
      <c r="DD77" s="256"/>
      <c r="DE77" s="256"/>
      <c r="DF77" s="256"/>
      <c r="DG77" s="256"/>
      <c r="DH77" s="256"/>
      <c r="DI77" s="256"/>
      <c r="DJ77" s="256"/>
      <c r="DK77" s="256"/>
      <c r="DL77" s="256"/>
      <c r="DM77" s="256"/>
      <c r="DN77" s="256"/>
      <c r="DO77" s="256"/>
      <c r="DP77" s="256"/>
      <c r="DQ77" s="256"/>
      <c r="DR77" s="256"/>
      <c r="DS77" s="256"/>
      <c r="DT77" s="256"/>
      <c r="DU77" s="256"/>
      <c r="DV77" s="256"/>
      <c r="DW77" s="256"/>
      <c r="DX77" s="256"/>
      <c r="DY77" s="256"/>
      <c r="DZ77" s="256"/>
      <c r="EA77" s="256"/>
      <c r="EB77" s="256"/>
      <c r="EC77" s="256"/>
      <c r="ED77" s="256"/>
      <c r="EE77" s="256"/>
      <c r="EF77" s="256"/>
      <c r="EG77" s="256"/>
      <c r="EH77" s="256"/>
      <c r="EI77" s="256"/>
      <c r="EJ77" s="256"/>
      <c r="EK77" s="256"/>
      <c r="EL77" s="256"/>
      <c r="EM77" s="256"/>
      <c r="EN77" s="256"/>
      <c r="EO77" s="256"/>
      <c r="EP77" s="256"/>
      <c r="EQ77" s="256"/>
      <c r="ER77" s="256"/>
      <c r="ES77" s="256"/>
      <c r="ET77" s="256"/>
      <c r="EU77" s="256"/>
      <c r="EV77" s="256"/>
      <c r="EW77" s="256"/>
      <c r="EX77" s="256"/>
      <c r="EY77" s="256"/>
      <c r="EZ77" s="256"/>
      <c r="FA77" s="256"/>
      <c r="FB77" s="256"/>
      <c r="FC77" s="256"/>
      <c r="FD77" s="256"/>
      <c r="FE77" s="256"/>
      <c r="FF77" s="256"/>
      <c r="FG77" s="256"/>
      <c r="FH77" s="256"/>
      <c r="FI77" s="256"/>
      <c r="FJ77" s="256"/>
      <c r="FK77" s="256"/>
      <c r="FL77" s="256"/>
      <c r="FM77" s="256"/>
      <c r="FN77" s="256"/>
      <c r="FO77" s="256"/>
      <c r="FP77" s="256"/>
      <c r="FQ77" s="256"/>
      <c r="FR77" s="256"/>
      <c r="FS77" s="256"/>
      <c r="FT77" s="256"/>
      <c r="FU77" s="256"/>
      <c r="FV77" s="256"/>
      <c r="FW77" s="256"/>
      <c r="FX77" s="256"/>
      <c r="FY77" s="256"/>
      <c r="FZ77" s="256"/>
      <c r="GA77" s="256"/>
      <c r="GB77" s="256"/>
      <c r="GC77" s="256"/>
      <c r="GD77" s="256"/>
      <c r="GE77" s="256"/>
      <c r="GF77" s="256"/>
      <c r="GG77" s="256"/>
      <c r="GH77" s="256"/>
      <c r="GI77" s="256"/>
      <c r="GJ77" s="256"/>
      <c r="GK77" s="256"/>
      <c r="GL77" s="256"/>
      <c r="GM77" s="256"/>
      <c r="GN77" s="256"/>
      <c r="GO77" s="256"/>
      <c r="GP77" s="256"/>
      <c r="GQ77" s="256"/>
      <c r="GR77" s="256"/>
      <c r="GS77" s="256"/>
      <c r="GT77" s="256"/>
      <c r="GU77" s="256"/>
      <c r="GV77" s="256"/>
      <c r="GW77" s="256"/>
      <c r="GX77" s="256"/>
      <c r="GY77" s="256"/>
      <c r="GZ77" s="256"/>
      <c r="HA77" s="256"/>
      <c r="HB77" s="256"/>
      <c r="HC77" s="256"/>
      <c r="HD77" s="256"/>
      <c r="HE77" s="256"/>
      <c r="HF77" s="256"/>
      <c r="HG77" s="256"/>
      <c r="HH77" s="256"/>
      <c r="HI77" s="256"/>
      <c r="HJ77" s="256"/>
      <c r="HK77" s="256"/>
      <c r="HL77" s="256"/>
      <c r="HM77" s="256"/>
      <c r="HN77" s="256"/>
      <c r="HO77" s="256"/>
      <c r="HP77" s="256"/>
      <c r="HQ77" s="256"/>
      <c r="HR77" s="256"/>
      <c r="HS77" s="256"/>
      <c r="HT77" s="256"/>
      <c r="HU77" s="256"/>
      <c r="HV77" s="256"/>
      <c r="HW77" s="256"/>
      <c r="HX77" s="256"/>
      <c r="HY77" s="256"/>
      <c r="HZ77" s="256"/>
      <c r="IA77" s="256"/>
      <c r="IB77" s="256"/>
      <c r="IC77" s="256"/>
      <c r="ID77" s="256"/>
      <c r="IE77" s="256"/>
      <c r="IF77" s="256"/>
      <c r="IG77" s="256"/>
      <c r="IH77" s="256"/>
      <c r="II77" s="256"/>
      <c r="IJ77" s="256"/>
      <c r="IK77" s="256"/>
      <c r="IL77" s="256"/>
      <c r="IM77" s="256"/>
      <c r="IN77" s="256"/>
      <c r="IO77" s="256"/>
      <c r="IP77" s="256"/>
      <c r="IQ77" s="256"/>
      <c r="IR77" s="256"/>
      <c r="IS77" s="256"/>
      <c r="IT77" s="256"/>
      <c r="IU77" s="256"/>
      <c r="IV77" s="256"/>
      <c r="IW77" s="256"/>
      <c r="IX77" s="256"/>
      <c r="IY77" s="256"/>
      <c r="IZ77" s="256"/>
      <c r="JA77" s="256"/>
      <c r="JB77" s="256"/>
      <c r="JC77" s="256"/>
      <c r="JD77" s="256"/>
      <c r="JE77" s="256"/>
      <c r="JF77" s="256"/>
      <c r="JG77" s="256"/>
      <c r="JH77" s="256"/>
      <c r="JI77" s="256"/>
      <c r="JJ77" s="256"/>
      <c r="JK77" s="256"/>
      <c r="JL77" s="256"/>
      <c r="JM77" s="256"/>
      <c r="JN77" s="256"/>
      <c r="JO77" s="256"/>
      <c r="JP77" s="256"/>
      <c r="JQ77" s="256"/>
      <c r="JR77" s="256"/>
      <c r="JS77" s="256"/>
      <c r="JT77" s="256"/>
      <c r="JU77" s="256"/>
      <c r="JV77" s="256"/>
      <c r="JW77" s="256"/>
      <c r="JX77" s="256"/>
      <c r="JY77" s="256"/>
      <c r="JZ77" s="256"/>
      <c r="KA77" s="256"/>
      <c r="KB77" s="256"/>
      <c r="KC77" s="256"/>
      <c r="KD77" s="256"/>
      <c r="KE77" s="256"/>
      <c r="KF77" s="256"/>
      <c r="KG77" s="256"/>
      <c r="KH77" s="256"/>
      <c r="KI77" s="256"/>
      <c r="KJ77" s="256"/>
      <c r="KK77" s="256"/>
      <c r="KL77" s="256"/>
      <c r="KM77" s="256"/>
      <c r="KN77" s="256"/>
      <c r="KO77" s="256"/>
      <c r="KP77" s="256"/>
      <c r="KQ77" s="256"/>
      <c r="KR77" s="256"/>
      <c r="KS77" s="256"/>
      <c r="KT77" s="256"/>
      <c r="KU77" s="256"/>
      <c r="KV77" s="256"/>
      <c r="KW77" s="256"/>
      <c r="KX77" s="256"/>
      <c r="KY77" s="256"/>
      <c r="KZ77" s="256"/>
      <c r="LA77" s="256"/>
      <c r="LB77" s="256"/>
      <c r="LC77" s="256"/>
      <c r="LD77" s="256"/>
      <c r="LE77" s="256"/>
      <c r="LF77" s="256"/>
      <c r="LG77" s="256"/>
      <c r="LH77" s="256"/>
      <c r="LI77" s="256"/>
      <c r="LJ77" s="256"/>
      <c r="LK77" s="256"/>
      <c r="LL77" s="256"/>
      <c r="LM77" s="256"/>
      <c r="LN77" s="256"/>
      <c r="LO77" s="256"/>
      <c r="LP77" s="256"/>
      <c r="LQ77" s="256"/>
      <c r="LR77" s="256"/>
      <c r="LS77" s="256"/>
      <c r="LT77" s="256"/>
      <c r="LU77" s="256"/>
      <c r="LV77" s="256"/>
      <c r="LW77" s="256"/>
      <c r="LX77" s="256"/>
      <c r="LY77" s="256"/>
      <c r="LZ77" s="256"/>
      <c r="MA77" s="256"/>
      <c r="MB77" s="256"/>
      <c r="MC77" s="256"/>
      <c r="MD77" s="256"/>
      <c r="ME77" s="256"/>
      <c r="MF77" s="256"/>
      <c r="MG77" s="256"/>
      <c r="MH77" s="256"/>
      <c r="MI77" s="256"/>
      <c r="MJ77" s="256"/>
      <c r="MK77" s="256"/>
      <c r="ML77" s="256"/>
      <c r="MM77" s="256"/>
      <c r="MN77" s="256"/>
      <c r="MO77" s="256"/>
      <c r="MP77" s="256"/>
      <c r="MQ77" s="256"/>
      <c r="MR77" s="256"/>
      <c r="MS77" s="256"/>
      <c r="MT77" s="256"/>
      <c r="MU77" s="256"/>
      <c r="MV77" s="256"/>
      <c r="MW77" s="256"/>
      <c r="MX77" s="256"/>
      <c r="MY77" s="256"/>
      <c r="MZ77" s="256"/>
      <c r="NA77" s="256"/>
      <c r="NB77" s="256"/>
      <c r="NC77" s="256"/>
      <c r="ND77" s="256"/>
      <c r="NE77" s="256"/>
      <c r="NF77" s="256"/>
      <c r="NG77" s="256"/>
      <c r="NH77" s="256"/>
      <c r="NI77" s="256"/>
      <c r="NJ77" s="256"/>
      <c r="NK77" s="256"/>
      <c r="NL77" s="256"/>
      <c r="NM77" s="256"/>
      <c r="NN77" s="256"/>
      <c r="NO77" s="256"/>
      <c r="NP77" s="256"/>
      <c r="NQ77" s="256"/>
      <c r="NR77" s="256"/>
      <c r="NS77" s="256"/>
      <c r="NT77" s="256"/>
      <c r="NU77" s="256"/>
      <c r="NV77" s="256"/>
      <c r="NW77" s="256"/>
      <c r="NX77" s="256"/>
      <c r="NY77" s="256"/>
      <c r="NZ77" s="256"/>
      <c r="OA77" s="256"/>
      <c r="OB77" s="256"/>
      <c r="OC77" s="256"/>
      <c r="OD77" s="256"/>
      <c r="OE77" s="256"/>
      <c r="OF77" s="256"/>
      <c r="OG77" s="256"/>
      <c r="OH77" s="256"/>
      <c r="OI77" s="256"/>
      <c r="OJ77" s="256"/>
      <c r="OK77" s="256"/>
      <c r="OL77" s="256"/>
      <c r="OM77" s="256"/>
      <c r="ON77" s="256"/>
      <c r="OO77" s="256"/>
      <c r="OP77" s="256"/>
      <c r="OQ77" s="256"/>
      <c r="OR77" s="256"/>
      <c r="OS77" s="256"/>
      <c r="OT77" s="256"/>
      <c r="OU77" s="256"/>
      <c r="OV77" s="256"/>
      <c r="OW77" s="256"/>
      <c r="OX77" s="256"/>
      <c r="OY77" s="256"/>
      <c r="OZ77" s="256"/>
      <c r="PA77" s="256"/>
      <c r="PB77" s="256"/>
      <c r="PC77" s="256"/>
      <c r="PD77" s="256"/>
      <c r="PE77" s="256"/>
      <c r="PF77" s="256"/>
      <c r="PG77" s="256"/>
      <c r="PH77" s="256"/>
      <c r="PI77" s="256"/>
      <c r="PJ77" s="256"/>
      <c r="PK77" s="256"/>
      <c r="PL77" s="256"/>
      <c r="PM77" s="256"/>
      <c r="PN77" s="256"/>
      <c r="PO77" s="256"/>
      <c r="PP77" s="256"/>
      <c r="PQ77" s="256"/>
      <c r="PR77" s="256"/>
      <c r="PS77" s="256"/>
      <c r="PT77" s="256"/>
      <c r="PU77" s="256"/>
      <c r="PV77" s="256"/>
      <c r="PW77" s="256"/>
      <c r="PX77" s="256"/>
      <c r="PY77" s="256"/>
      <c r="PZ77" s="256"/>
      <c r="QA77" s="256"/>
      <c r="QB77" s="256"/>
      <c r="QC77" s="256"/>
      <c r="QD77" s="256"/>
      <c r="QE77" s="256"/>
      <c r="QF77" s="256"/>
      <c r="QG77" s="256"/>
      <c r="QH77" s="256"/>
    </row>
    <row r="78" spans="1:450" s="255" customFormat="1" x14ac:dyDescent="0.25">
      <c r="A78" s="249"/>
      <c r="B78" s="249" t="s">
        <v>249</v>
      </c>
      <c r="C78" s="249" t="s">
        <v>209</v>
      </c>
      <c r="D78" s="250">
        <v>370</v>
      </c>
      <c r="E78" s="251">
        <v>0.75</v>
      </c>
      <c r="F78" s="250">
        <f>E78*D78</f>
        <v>277.5</v>
      </c>
      <c r="G78" s="251">
        <v>0.25</v>
      </c>
      <c r="H78" s="250">
        <f t="shared" si="9"/>
        <v>92.5</v>
      </c>
      <c r="I78" s="252"/>
      <c r="J78" s="253">
        <f t="shared" si="10"/>
        <v>3330</v>
      </c>
      <c r="K78" s="254">
        <f>SUM(J69:J78)</f>
        <v>29844</v>
      </c>
      <c r="L78" s="254">
        <f>K78</f>
        <v>29844</v>
      </c>
      <c r="M78" s="254">
        <f>L62+L78</f>
        <v>136476</v>
      </c>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c r="CQ78" s="256"/>
      <c r="CR78" s="256"/>
      <c r="CS78" s="256"/>
      <c r="CT78" s="256"/>
      <c r="CU78" s="256"/>
      <c r="CV78" s="256"/>
      <c r="CW78" s="256"/>
      <c r="CX78" s="256"/>
      <c r="CY78" s="256"/>
      <c r="CZ78" s="256"/>
      <c r="DA78" s="256"/>
      <c r="DB78" s="256"/>
      <c r="DC78" s="256"/>
      <c r="DD78" s="256"/>
      <c r="DE78" s="256"/>
      <c r="DF78" s="256"/>
      <c r="DG78" s="256"/>
      <c r="DH78" s="256"/>
      <c r="DI78" s="256"/>
      <c r="DJ78" s="256"/>
      <c r="DK78" s="256"/>
      <c r="DL78" s="256"/>
      <c r="DM78" s="256"/>
      <c r="DN78" s="256"/>
      <c r="DO78" s="256"/>
      <c r="DP78" s="256"/>
      <c r="DQ78" s="256"/>
      <c r="DR78" s="256"/>
      <c r="DS78" s="256"/>
      <c r="DT78" s="256"/>
      <c r="DU78" s="256"/>
      <c r="DV78" s="256"/>
      <c r="DW78" s="256"/>
      <c r="DX78" s="256"/>
      <c r="DY78" s="256"/>
      <c r="DZ78" s="256"/>
      <c r="EA78" s="256"/>
      <c r="EB78" s="256"/>
      <c r="EC78" s="256"/>
      <c r="ED78" s="256"/>
      <c r="EE78" s="256"/>
      <c r="EF78" s="256"/>
      <c r="EG78" s="256"/>
      <c r="EH78" s="256"/>
      <c r="EI78" s="256"/>
      <c r="EJ78" s="256"/>
      <c r="EK78" s="256"/>
      <c r="EL78" s="256"/>
      <c r="EM78" s="256"/>
      <c r="EN78" s="256"/>
      <c r="EO78" s="256"/>
      <c r="EP78" s="256"/>
      <c r="EQ78" s="256"/>
      <c r="ER78" s="256"/>
      <c r="ES78" s="256"/>
      <c r="ET78" s="256"/>
      <c r="EU78" s="256"/>
      <c r="EV78" s="256"/>
      <c r="EW78" s="256"/>
      <c r="EX78" s="256"/>
      <c r="EY78" s="256"/>
      <c r="EZ78" s="256"/>
      <c r="FA78" s="256"/>
      <c r="FB78" s="256"/>
      <c r="FC78" s="256"/>
      <c r="FD78" s="256"/>
      <c r="FE78" s="256"/>
      <c r="FF78" s="256"/>
      <c r="FG78" s="256"/>
      <c r="FH78" s="256"/>
      <c r="FI78" s="256"/>
      <c r="FJ78" s="256"/>
      <c r="FK78" s="256"/>
      <c r="FL78" s="256"/>
      <c r="FM78" s="256"/>
      <c r="FN78" s="256"/>
      <c r="FO78" s="256"/>
      <c r="FP78" s="256"/>
      <c r="FQ78" s="256"/>
      <c r="FR78" s="256"/>
      <c r="FS78" s="256"/>
      <c r="FT78" s="256"/>
      <c r="FU78" s="256"/>
      <c r="FV78" s="256"/>
      <c r="FW78" s="256"/>
      <c r="FX78" s="256"/>
      <c r="FY78" s="256"/>
      <c r="FZ78" s="256"/>
      <c r="GA78" s="256"/>
      <c r="GB78" s="256"/>
      <c r="GC78" s="256"/>
      <c r="GD78" s="256"/>
      <c r="GE78" s="256"/>
      <c r="GF78" s="256"/>
      <c r="GG78" s="256"/>
      <c r="GH78" s="256"/>
      <c r="GI78" s="256"/>
      <c r="GJ78" s="256"/>
      <c r="GK78" s="256"/>
      <c r="GL78" s="256"/>
      <c r="GM78" s="256"/>
      <c r="GN78" s="256"/>
      <c r="GO78" s="256"/>
      <c r="GP78" s="256"/>
      <c r="GQ78" s="256"/>
      <c r="GR78" s="256"/>
      <c r="GS78" s="256"/>
      <c r="GT78" s="256"/>
      <c r="GU78" s="256"/>
      <c r="GV78" s="256"/>
      <c r="GW78" s="256"/>
      <c r="GX78" s="256"/>
      <c r="GY78" s="256"/>
      <c r="GZ78" s="256"/>
      <c r="HA78" s="256"/>
      <c r="HB78" s="256"/>
      <c r="HC78" s="256"/>
      <c r="HD78" s="256"/>
      <c r="HE78" s="256"/>
      <c r="HF78" s="256"/>
      <c r="HG78" s="256"/>
      <c r="HH78" s="256"/>
      <c r="HI78" s="256"/>
      <c r="HJ78" s="256"/>
      <c r="HK78" s="256"/>
      <c r="HL78" s="256"/>
      <c r="HM78" s="256"/>
      <c r="HN78" s="256"/>
      <c r="HO78" s="256"/>
      <c r="HP78" s="256"/>
      <c r="HQ78" s="256"/>
      <c r="HR78" s="256"/>
      <c r="HS78" s="256"/>
      <c r="HT78" s="256"/>
      <c r="HU78" s="256"/>
      <c r="HV78" s="256"/>
      <c r="HW78" s="256"/>
      <c r="HX78" s="256"/>
      <c r="HY78" s="256"/>
      <c r="HZ78" s="256"/>
      <c r="IA78" s="256"/>
      <c r="IB78" s="256"/>
      <c r="IC78" s="256"/>
      <c r="ID78" s="256"/>
      <c r="IE78" s="256"/>
      <c r="IF78" s="256"/>
      <c r="IG78" s="256"/>
      <c r="IH78" s="256"/>
      <c r="II78" s="256"/>
      <c r="IJ78" s="256"/>
      <c r="IK78" s="256"/>
      <c r="IL78" s="256"/>
      <c r="IM78" s="256"/>
      <c r="IN78" s="256"/>
      <c r="IO78" s="256"/>
      <c r="IP78" s="256"/>
      <c r="IQ78" s="256"/>
      <c r="IR78" s="256"/>
      <c r="IS78" s="256"/>
      <c r="IT78" s="256"/>
      <c r="IU78" s="256"/>
      <c r="IV78" s="256"/>
      <c r="IW78" s="256"/>
      <c r="IX78" s="256"/>
      <c r="IY78" s="256"/>
      <c r="IZ78" s="256"/>
      <c r="JA78" s="256"/>
      <c r="JB78" s="256"/>
      <c r="JC78" s="256"/>
      <c r="JD78" s="256"/>
      <c r="JE78" s="256"/>
      <c r="JF78" s="256"/>
      <c r="JG78" s="256"/>
      <c r="JH78" s="256"/>
      <c r="JI78" s="256"/>
      <c r="JJ78" s="256"/>
      <c r="JK78" s="256"/>
      <c r="JL78" s="256"/>
      <c r="JM78" s="256"/>
      <c r="JN78" s="256"/>
      <c r="JO78" s="256"/>
      <c r="JP78" s="256"/>
      <c r="JQ78" s="256"/>
      <c r="JR78" s="256"/>
      <c r="JS78" s="256"/>
      <c r="JT78" s="256"/>
      <c r="JU78" s="256"/>
      <c r="JV78" s="256"/>
      <c r="JW78" s="256"/>
      <c r="JX78" s="256"/>
      <c r="JY78" s="256"/>
      <c r="JZ78" s="256"/>
      <c r="KA78" s="256"/>
      <c r="KB78" s="256"/>
      <c r="KC78" s="256"/>
      <c r="KD78" s="256"/>
      <c r="KE78" s="256"/>
      <c r="KF78" s="256"/>
      <c r="KG78" s="256"/>
      <c r="KH78" s="256"/>
      <c r="KI78" s="256"/>
      <c r="KJ78" s="256"/>
      <c r="KK78" s="256"/>
      <c r="KL78" s="256"/>
      <c r="KM78" s="256"/>
      <c r="KN78" s="256"/>
      <c r="KO78" s="256"/>
      <c r="KP78" s="256"/>
      <c r="KQ78" s="256"/>
      <c r="KR78" s="256"/>
      <c r="KS78" s="256"/>
      <c r="KT78" s="256"/>
      <c r="KU78" s="256"/>
      <c r="KV78" s="256"/>
      <c r="KW78" s="256"/>
      <c r="KX78" s="256"/>
      <c r="KY78" s="256"/>
      <c r="KZ78" s="256"/>
      <c r="LA78" s="256"/>
      <c r="LB78" s="256"/>
      <c r="LC78" s="256"/>
      <c r="LD78" s="256"/>
      <c r="LE78" s="256"/>
      <c r="LF78" s="256"/>
      <c r="LG78" s="256"/>
      <c r="LH78" s="256"/>
      <c r="LI78" s="256"/>
      <c r="LJ78" s="256"/>
      <c r="LK78" s="256"/>
      <c r="LL78" s="256"/>
      <c r="LM78" s="256"/>
      <c r="LN78" s="256"/>
      <c r="LO78" s="256"/>
      <c r="LP78" s="256"/>
      <c r="LQ78" s="256"/>
      <c r="LR78" s="256"/>
      <c r="LS78" s="256"/>
      <c r="LT78" s="256"/>
      <c r="LU78" s="256"/>
      <c r="LV78" s="256"/>
      <c r="LW78" s="256"/>
      <c r="LX78" s="256"/>
      <c r="LY78" s="256"/>
      <c r="LZ78" s="256"/>
      <c r="MA78" s="256"/>
      <c r="MB78" s="256"/>
      <c r="MC78" s="256"/>
      <c r="MD78" s="256"/>
      <c r="ME78" s="256"/>
      <c r="MF78" s="256"/>
      <c r="MG78" s="256"/>
      <c r="MH78" s="256"/>
      <c r="MI78" s="256"/>
      <c r="MJ78" s="256"/>
      <c r="MK78" s="256"/>
      <c r="ML78" s="256"/>
      <c r="MM78" s="256"/>
      <c r="MN78" s="256"/>
      <c r="MO78" s="256"/>
      <c r="MP78" s="256"/>
      <c r="MQ78" s="256"/>
      <c r="MR78" s="256"/>
      <c r="MS78" s="256"/>
      <c r="MT78" s="256"/>
      <c r="MU78" s="256"/>
      <c r="MV78" s="256"/>
      <c r="MW78" s="256"/>
      <c r="MX78" s="256"/>
      <c r="MY78" s="256"/>
      <c r="MZ78" s="256"/>
      <c r="NA78" s="256"/>
      <c r="NB78" s="256"/>
      <c r="NC78" s="256"/>
      <c r="ND78" s="256"/>
      <c r="NE78" s="256"/>
      <c r="NF78" s="256"/>
      <c r="NG78" s="256"/>
      <c r="NH78" s="256"/>
      <c r="NI78" s="256"/>
      <c r="NJ78" s="256"/>
      <c r="NK78" s="256"/>
      <c r="NL78" s="256"/>
      <c r="NM78" s="256"/>
      <c r="NN78" s="256"/>
      <c r="NO78" s="256"/>
      <c r="NP78" s="256"/>
      <c r="NQ78" s="256"/>
      <c r="NR78" s="256"/>
      <c r="NS78" s="256"/>
      <c r="NT78" s="256"/>
      <c r="NU78" s="256"/>
      <c r="NV78" s="256"/>
      <c r="NW78" s="256"/>
      <c r="NX78" s="256"/>
      <c r="NY78" s="256"/>
      <c r="NZ78" s="256"/>
      <c r="OA78" s="256"/>
      <c r="OB78" s="256"/>
      <c r="OC78" s="256"/>
      <c r="OD78" s="256"/>
      <c r="OE78" s="256"/>
      <c r="OF78" s="256"/>
      <c r="OG78" s="256"/>
      <c r="OH78" s="256"/>
      <c r="OI78" s="256"/>
      <c r="OJ78" s="256"/>
      <c r="OK78" s="256"/>
      <c r="OL78" s="256"/>
      <c r="OM78" s="256"/>
      <c r="ON78" s="256"/>
      <c r="OO78" s="256"/>
      <c r="OP78" s="256"/>
      <c r="OQ78" s="256"/>
      <c r="OR78" s="256"/>
      <c r="OS78" s="256"/>
      <c r="OT78" s="256"/>
      <c r="OU78" s="256"/>
      <c r="OV78" s="256"/>
      <c r="OW78" s="256"/>
      <c r="OX78" s="256"/>
      <c r="OY78" s="256"/>
      <c r="OZ78" s="256"/>
      <c r="PA78" s="256"/>
      <c r="PB78" s="256"/>
      <c r="PC78" s="256"/>
      <c r="PD78" s="256"/>
      <c r="PE78" s="256"/>
      <c r="PF78" s="256"/>
      <c r="PG78" s="256"/>
      <c r="PH78" s="256"/>
      <c r="PI78" s="256"/>
      <c r="PJ78" s="256"/>
      <c r="PK78" s="256"/>
      <c r="PL78" s="256"/>
      <c r="PM78" s="256"/>
      <c r="PN78" s="256"/>
      <c r="PO78" s="256"/>
      <c r="PP78" s="256"/>
      <c r="PQ78" s="256"/>
      <c r="PR78" s="256"/>
      <c r="PS78" s="256"/>
      <c r="PT78" s="256"/>
      <c r="PU78" s="256"/>
      <c r="PV78" s="256"/>
      <c r="PW78" s="256"/>
      <c r="PX78" s="256"/>
      <c r="PY78" s="256"/>
      <c r="PZ78" s="256"/>
      <c r="QA78" s="256"/>
      <c r="QB78" s="256"/>
      <c r="QC78" s="256"/>
      <c r="QD78" s="256"/>
      <c r="QE78" s="256"/>
      <c r="QF78" s="256"/>
      <c r="QG78" s="256"/>
      <c r="QH78" s="256"/>
    </row>
    <row r="79" spans="1:450" s="77" customFormat="1" ht="15.75" thickBot="1" x14ac:dyDescent="0.3">
      <c r="A79" s="90"/>
      <c r="B79" s="90"/>
      <c r="C79" s="286" t="s">
        <v>2016</v>
      </c>
      <c r="D79" s="99">
        <f>SUM(D68:D78)</f>
        <v>4052</v>
      </c>
      <c r="E79" s="91"/>
      <c r="F79" s="99">
        <f>SUM(F68:F78)</f>
        <v>2763</v>
      </c>
      <c r="G79" s="82"/>
      <c r="H79" s="99">
        <f>SUM(H68:H78)</f>
        <v>1289</v>
      </c>
      <c r="J79" s="172">
        <f>SUM(J68:J78)</f>
        <v>32052</v>
      </c>
      <c r="K79" s="172"/>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c r="CQ79" s="256"/>
      <c r="CR79" s="256"/>
      <c r="CS79" s="256"/>
      <c r="CT79" s="256"/>
      <c r="CU79" s="256"/>
      <c r="CV79" s="256"/>
      <c r="CW79" s="256"/>
      <c r="CX79" s="256"/>
      <c r="CY79" s="256"/>
      <c r="CZ79" s="256"/>
      <c r="DA79" s="256"/>
      <c r="DB79" s="256"/>
      <c r="DC79" s="256"/>
      <c r="DD79" s="256"/>
      <c r="DE79" s="256"/>
      <c r="DF79" s="256"/>
      <c r="DG79" s="256"/>
      <c r="DH79" s="256"/>
      <c r="DI79" s="256"/>
      <c r="DJ79" s="256"/>
      <c r="DK79" s="256"/>
      <c r="DL79" s="256"/>
      <c r="DM79" s="256"/>
      <c r="DN79" s="256"/>
      <c r="DO79" s="256"/>
      <c r="DP79" s="256"/>
      <c r="DQ79" s="256"/>
      <c r="DR79" s="256"/>
      <c r="DS79" s="256"/>
      <c r="DT79" s="256"/>
      <c r="DU79" s="256"/>
      <c r="DV79" s="256"/>
      <c r="DW79" s="256"/>
      <c r="DX79" s="256"/>
      <c r="DY79" s="256"/>
      <c r="DZ79" s="256"/>
      <c r="EA79" s="256"/>
      <c r="EB79" s="256"/>
      <c r="EC79" s="256"/>
      <c r="ED79" s="256"/>
      <c r="EE79" s="256"/>
      <c r="EF79" s="256"/>
      <c r="EG79" s="256"/>
      <c r="EH79" s="256"/>
      <c r="EI79" s="256"/>
      <c r="EJ79" s="256"/>
      <c r="EK79" s="256"/>
      <c r="EL79" s="256"/>
      <c r="EM79" s="256"/>
      <c r="EN79" s="256"/>
      <c r="EO79" s="256"/>
      <c r="EP79" s="256"/>
      <c r="EQ79" s="256"/>
      <c r="ER79" s="256"/>
      <c r="ES79" s="256"/>
      <c r="ET79" s="256"/>
      <c r="EU79" s="256"/>
      <c r="EV79" s="256"/>
      <c r="EW79" s="256"/>
      <c r="EX79" s="256"/>
      <c r="EY79" s="256"/>
      <c r="EZ79" s="256"/>
      <c r="FA79" s="256"/>
      <c r="FB79" s="256"/>
      <c r="FC79" s="256"/>
      <c r="FD79" s="256"/>
      <c r="FE79" s="256"/>
      <c r="FF79" s="256"/>
      <c r="FG79" s="256"/>
      <c r="FH79" s="256"/>
      <c r="FI79" s="256"/>
      <c r="FJ79" s="256"/>
      <c r="FK79" s="256"/>
      <c r="FL79" s="256"/>
      <c r="FM79" s="256"/>
      <c r="FN79" s="256"/>
      <c r="FO79" s="256"/>
      <c r="FP79" s="256"/>
      <c r="FQ79" s="256"/>
      <c r="FR79" s="256"/>
      <c r="FS79" s="256"/>
      <c r="FT79" s="256"/>
      <c r="FU79" s="256"/>
      <c r="FV79" s="256"/>
      <c r="FW79" s="256"/>
      <c r="FX79" s="256"/>
      <c r="FY79" s="256"/>
      <c r="FZ79" s="256"/>
      <c r="GA79" s="256"/>
      <c r="GB79" s="256"/>
      <c r="GC79" s="256"/>
      <c r="GD79" s="256"/>
      <c r="GE79" s="256"/>
      <c r="GF79" s="256"/>
      <c r="GG79" s="256"/>
      <c r="GH79" s="256"/>
      <c r="GI79" s="256"/>
      <c r="GJ79" s="256"/>
      <c r="GK79" s="256"/>
      <c r="GL79" s="256"/>
      <c r="GM79" s="256"/>
      <c r="GN79" s="256"/>
      <c r="GO79" s="256"/>
      <c r="GP79" s="256"/>
      <c r="GQ79" s="256"/>
      <c r="GR79" s="256"/>
      <c r="GS79" s="256"/>
      <c r="GT79" s="256"/>
      <c r="GU79" s="256"/>
      <c r="GV79" s="256"/>
      <c r="GW79" s="256"/>
      <c r="GX79" s="256"/>
      <c r="GY79" s="256"/>
      <c r="GZ79" s="256"/>
      <c r="HA79" s="256"/>
      <c r="HB79" s="256"/>
      <c r="HC79" s="256"/>
      <c r="HD79" s="256"/>
      <c r="HE79" s="256"/>
      <c r="HF79" s="256"/>
      <c r="HG79" s="256"/>
      <c r="HH79" s="256"/>
      <c r="HI79" s="256"/>
      <c r="HJ79" s="256"/>
      <c r="HK79" s="256"/>
      <c r="HL79" s="256"/>
      <c r="HM79" s="256"/>
      <c r="HN79" s="256"/>
      <c r="HO79" s="256"/>
      <c r="HP79" s="256"/>
      <c r="HQ79" s="256"/>
      <c r="HR79" s="256"/>
      <c r="HS79" s="256"/>
      <c r="HT79" s="256"/>
      <c r="HU79" s="256"/>
      <c r="HV79" s="256"/>
      <c r="HW79" s="256"/>
      <c r="HX79" s="256"/>
      <c r="HY79" s="256"/>
      <c r="HZ79" s="256"/>
      <c r="IA79" s="256"/>
      <c r="IB79" s="256"/>
      <c r="IC79" s="256"/>
      <c r="ID79" s="256"/>
      <c r="IE79" s="256"/>
      <c r="IF79" s="256"/>
      <c r="IG79" s="256"/>
      <c r="IH79" s="256"/>
      <c r="II79" s="256"/>
      <c r="IJ79" s="256"/>
      <c r="IK79" s="256"/>
      <c r="IL79" s="256"/>
      <c r="IM79" s="256"/>
      <c r="IN79" s="256"/>
      <c r="IO79" s="256"/>
      <c r="IP79" s="256"/>
      <c r="IQ79" s="256"/>
      <c r="IR79" s="256"/>
      <c r="IS79" s="256"/>
      <c r="IT79" s="256"/>
      <c r="IU79" s="256"/>
      <c r="IV79" s="256"/>
      <c r="IW79" s="256"/>
      <c r="IX79" s="256"/>
      <c r="IY79" s="256"/>
      <c r="IZ79" s="256"/>
      <c r="JA79" s="256"/>
      <c r="JB79" s="256"/>
      <c r="JC79" s="256"/>
      <c r="JD79" s="256"/>
      <c r="JE79" s="256"/>
      <c r="JF79" s="256"/>
      <c r="JG79" s="256"/>
      <c r="JH79" s="256"/>
      <c r="JI79" s="256"/>
      <c r="JJ79" s="256"/>
      <c r="JK79" s="256"/>
      <c r="JL79" s="256"/>
      <c r="JM79" s="256"/>
      <c r="JN79" s="256"/>
      <c r="JO79" s="256"/>
      <c r="JP79" s="256"/>
      <c r="JQ79" s="256"/>
      <c r="JR79" s="256"/>
      <c r="JS79" s="256"/>
      <c r="JT79" s="256"/>
      <c r="JU79" s="256"/>
      <c r="JV79" s="256"/>
      <c r="JW79" s="256"/>
      <c r="JX79" s="256"/>
      <c r="JY79" s="256"/>
      <c r="JZ79" s="256"/>
      <c r="KA79" s="256"/>
      <c r="KB79" s="256"/>
      <c r="KC79" s="256"/>
      <c r="KD79" s="256"/>
      <c r="KE79" s="256"/>
      <c r="KF79" s="256"/>
      <c r="KG79" s="256"/>
      <c r="KH79" s="256"/>
      <c r="KI79" s="256"/>
      <c r="KJ79" s="256"/>
      <c r="KK79" s="256"/>
      <c r="KL79" s="256"/>
      <c r="KM79" s="256"/>
      <c r="KN79" s="256"/>
      <c r="KO79" s="256"/>
      <c r="KP79" s="256"/>
      <c r="KQ79" s="256"/>
      <c r="KR79" s="256"/>
      <c r="KS79" s="256"/>
      <c r="KT79" s="256"/>
      <c r="KU79" s="256"/>
      <c r="KV79" s="256"/>
      <c r="KW79" s="256"/>
      <c r="KX79" s="256"/>
      <c r="KY79" s="256"/>
      <c r="KZ79" s="256"/>
      <c r="LA79" s="256"/>
      <c r="LB79" s="256"/>
      <c r="LC79" s="256"/>
      <c r="LD79" s="256"/>
      <c r="LE79" s="256"/>
      <c r="LF79" s="256"/>
      <c r="LG79" s="256"/>
      <c r="LH79" s="256"/>
      <c r="LI79" s="256"/>
      <c r="LJ79" s="256"/>
      <c r="LK79" s="256"/>
      <c r="LL79" s="256"/>
      <c r="LM79" s="256"/>
      <c r="LN79" s="256"/>
      <c r="LO79" s="256"/>
      <c r="LP79" s="256"/>
      <c r="LQ79" s="256"/>
      <c r="LR79" s="256"/>
      <c r="LS79" s="256"/>
      <c r="LT79" s="256"/>
      <c r="LU79" s="256"/>
      <c r="LV79" s="256"/>
      <c r="LW79" s="256"/>
      <c r="LX79" s="256"/>
      <c r="LY79" s="256"/>
      <c r="LZ79" s="256"/>
      <c r="MA79" s="256"/>
      <c r="MB79" s="256"/>
      <c r="MC79" s="256"/>
      <c r="MD79" s="256"/>
      <c r="ME79" s="256"/>
      <c r="MF79" s="256"/>
      <c r="MG79" s="256"/>
      <c r="MH79" s="256"/>
      <c r="MI79" s="256"/>
      <c r="MJ79" s="256"/>
      <c r="MK79" s="256"/>
      <c r="ML79" s="256"/>
      <c r="MM79" s="256"/>
      <c r="MN79" s="256"/>
      <c r="MO79" s="256"/>
      <c r="MP79" s="256"/>
      <c r="MQ79" s="256"/>
      <c r="MR79" s="256"/>
      <c r="MS79" s="256"/>
      <c r="MT79" s="256"/>
      <c r="MU79" s="256"/>
      <c r="MV79" s="256"/>
      <c r="MW79" s="256"/>
      <c r="MX79" s="256"/>
      <c r="MY79" s="256"/>
      <c r="MZ79" s="256"/>
      <c r="NA79" s="256"/>
      <c r="NB79" s="256"/>
      <c r="NC79" s="256"/>
      <c r="ND79" s="256"/>
      <c r="NE79" s="256"/>
      <c r="NF79" s="256"/>
      <c r="NG79" s="256"/>
      <c r="NH79" s="256"/>
      <c r="NI79" s="256"/>
      <c r="NJ79" s="256"/>
      <c r="NK79" s="256"/>
      <c r="NL79" s="256"/>
      <c r="NM79" s="256"/>
      <c r="NN79" s="256"/>
      <c r="NO79" s="256"/>
      <c r="NP79" s="256"/>
      <c r="NQ79" s="256"/>
      <c r="NR79" s="256"/>
      <c r="NS79" s="256"/>
      <c r="NT79" s="256"/>
      <c r="NU79" s="256"/>
      <c r="NV79" s="256"/>
      <c r="NW79" s="256"/>
      <c r="NX79" s="256"/>
      <c r="NY79" s="256"/>
      <c r="NZ79" s="256"/>
      <c r="OA79" s="256"/>
      <c r="OB79" s="256"/>
      <c r="OC79" s="256"/>
      <c r="OD79" s="256"/>
      <c r="OE79" s="256"/>
      <c r="OF79" s="256"/>
      <c r="OG79" s="256"/>
      <c r="OH79" s="256"/>
      <c r="OI79" s="256"/>
      <c r="OJ79" s="256"/>
      <c r="OK79" s="256"/>
      <c r="OL79" s="256"/>
      <c r="OM79" s="256"/>
      <c r="ON79" s="256"/>
      <c r="OO79" s="256"/>
      <c r="OP79" s="256"/>
      <c r="OQ79" s="256"/>
      <c r="OR79" s="256"/>
      <c r="OS79" s="256"/>
      <c r="OT79" s="256"/>
      <c r="OU79" s="256"/>
      <c r="OV79" s="256"/>
      <c r="OW79" s="256"/>
      <c r="OX79" s="256"/>
      <c r="OY79" s="256"/>
      <c r="OZ79" s="256"/>
      <c r="PA79" s="256"/>
      <c r="PB79" s="256"/>
      <c r="PC79" s="256"/>
      <c r="PD79" s="256"/>
      <c r="PE79" s="256"/>
      <c r="PF79" s="256"/>
      <c r="PG79" s="256"/>
      <c r="PH79" s="256"/>
      <c r="PI79" s="256"/>
      <c r="PJ79" s="256"/>
      <c r="PK79" s="256"/>
      <c r="PL79" s="256"/>
      <c r="PM79" s="256"/>
      <c r="PN79" s="256"/>
      <c r="PO79" s="256"/>
      <c r="PP79" s="256"/>
      <c r="PQ79" s="256"/>
      <c r="PR79" s="256"/>
      <c r="PS79" s="256"/>
      <c r="PT79" s="256"/>
      <c r="PU79" s="256"/>
      <c r="PV79" s="256"/>
      <c r="PW79" s="256"/>
      <c r="PX79" s="256"/>
      <c r="PY79" s="256"/>
      <c r="PZ79" s="256"/>
      <c r="QA79" s="256"/>
      <c r="QB79" s="256"/>
      <c r="QC79" s="256"/>
      <c r="QD79" s="256"/>
      <c r="QE79" s="256"/>
      <c r="QF79" s="256"/>
      <c r="QG79" s="256"/>
      <c r="QH79" s="256"/>
    </row>
    <row r="80" spans="1:450" ht="15.75" thickTop="1" x14ac:dyDescent="0.25"/>
    <row r="81" spans="12:12" x14ac:dyDescent="0.25">
      <c r="L81" s="290">
        <f>L65+L78</f>
        <v>833202</v>
      </c>
    </row>
  </sheetData>
  <sortState xmlns:xlrd2="http://schemas.microsoft.com/office/spreadsheetml/2017/richdata2" ref="A8:X55">
    <sortCondition ref="C8:C55"/>
  </sortState>
  <mergeCells count="1">
    <mergeCell ref="A3:L3"/>
  </mergeCells>
  <pageMargins left="0.75" right="0.75" top="1" bottom="1" header="0.5" footer="0.5"/>
  <pageSetup scale="55" orientation="portrait" r:id="rId1"/>
  <headerFooter alignWithMargins="0">
    <oddHeader>&amp;C&amp;"-,Bold"Proposed Budget &amp; Analysis Report for FY19</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
  <sheetViews>
    <sheetView workbookViewId="0">
      <selection activeCell="C15" sqref="C15"/>
    </sheetView>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AR370"/>
  <sheetViews>
    <sheetView zoomScaleNormal="100" zoomScaleSheetLayoutView="100" workbookViewId="0"/>
  </sheetViews>
  <sheetFormatPr defaultRowHeight="16.5" x14ac:dyDescent="0.3"/>
  <cols>
    <col min="1" max="1" width="19" style="698" bestFit="1" customWidth="1"/>
    <col min="2" max="2" width="6.42578125" style="698" customWidth="1"/>
    <col min="3" max="3" width="44.7109375" style="698" customWidth="1"/>
    <col min="4" max="4" width="13.28515625" style="698" hidden="1" customWidth="1"/>
    <col min="5" max="5" width="11.42578125" style="698" hidden="1" customWidth="1"/>
    <col min="6" max="6" width="7.7109375" style="698" hidden="1" customWidth="1"/>
    <col min="7" max="7" width="1.5703125" style="692" hidden="1" customWidth="1"/>
    <col min="8" max="8" width="13.28515625" style="698" hidden="1" customWidth="1"/>
    <col min="9" max="9" width="11.42578125" style="698" hidden="1" customWidth="1"/>
    <col min="10" max="10" width="7.7109375" style="698" hidden="1" customWidth="1"/>
    <col min="11" max="11" width="1.5703125" style="692" hidden="1" customWidth="1"/>
    <col min="12" max="12" width="13.28515625" style="698" hidden="1" customWidth="1"/>
    <col min="13" max="13" width="11.42578125" style="698" hidden="1" customWidth="1"/>
    <col min="14" max="14" width="7.7109375" style="698" hidden="1" customWidth="1"/>
    <col min="15" max="15" width="1.5703125" style="692" hidden="1" customWidth="1"/>
    <col min="16" max="16" width="13.28515625" style="698" hidden="1" customWidth="1"/>
    <col min="17" max="17" width="11.42578125" style="698" hidden="1" customWidth="1"/>
    <col min="18" max="18" width="7.7109375" style="698" hidden="1" customWidth="1"/>
    <col min="19" max="19" width="1.5703125" style="692" hidden="1" customWidth="1"/>
    <col min="20" max="20" width="13.28515625" style="698" hidden="1" customWidth="1"/>
    <col min="21" max="21" width="11.42578125" style="698" hidden="1" customWidth="1"/>
    <col min="22" max="22" width="7.7109375" style="698" hidden="1" customWidth="1"/>
    <col min="23" max="23" width="1.5703125" style="692" hidden="1" customWidth="1"/>
    <col min="24" max="25" width="11.5703125" style="698" hidden="1" customWidth="1"/>
    <col min="26" max="26" width="6.140625" style="698" hidden="1" customWidth="1"/>
    <col min="27" max="27" width="1.5703125" style="692" hidden="1" customWidth="1"/>
    <col min="28" max="28" width="13.5703125" style="698" customWidth="1"/>
    <col min="29" max="29" width="12.5703125" style="698" customWidth="1"/>
    <col min="30" max="30" width="7.7109375" style="698" customWidth="1"/>
    <col min="31" max="31" width="5.28515625" style="692" customWidth="1"/>
    <col min="32" max="32" width="11.5703125" style="698" hidden="1" customWidth="1"/>
    <col min="33" max="33" width="12.7109375" style="698" customWidth="1"/>
    <col min="34" max="34" width="11.5703125" style="698" customWidth="1"/>
    <col min="35" max="35" width="8" style="698" customWidth="1"/>
    <col min="36" max="36" width="1.85546875" style="698" customWidth="1"/>
    <col min="37" max="38" width="11.5703125" style="698" customWidth="1"/>
    <col min="39" max="39" width="8.140625" style="698" customWidth="1"/>
    <col min="40" max="40" width="5.140625" style="698" customWidth="1"/>
    <col min="41" max="41" width="14.140625" style="704" customWidth="1"/>
    <col min="42" max="42" width="11.7109375" style="704" customWidth="1"/>
    <col min="43" max="43" width="11.140625" style="698" customWidth="1"/>
    <col min="44" max="44" width="18.5703125" style="698" customWidth="1"/>
    <col min="45" max="16384" width="9.140625" style="698"/>
  </cols>
  <sheetData>
    <row r="3" spans="1:44" s="686" customFormat="1" ht="14.25" x14ac:dyDescent="0.2">
      <c r="D3" s="798" t="s">
        <v>1366</v>
      </c>
      <c r="E3" s="799"/>
      <c r="F3" s="800"/>
      <c r="G3" s="687"/>
      <c r="H3" s="798" t="s">
        <v>1365</v>
      </c>
      <c r="I3" s="799"/>
      <c r="J3" s="800"/>
      <c r="K3" s="687"/>
      <c r="L3" s="798" t="s">
        <v>1364</v>
      </c>
      <c r="M3" s="799"/>
      <c r="N3" s="800"/>
      <c r="O3" s="687"/>
      <c r="P3" s="798" t="s">
        <v>110</v>
      </c>
      <c r="Q3" s="799"/>
      <c r="R3" s="800"/>
      <c r="S3" s="687"/>
      <c r="T3" s="798" t="s">
        <v>271</v>
      </c>
      <c r="U3" s="799"/>
      <c r="V3" s="800"/>
      <c r="W3" s="687"/>
      <c r="X3" s="798" t="s">
        <v>980</v>
      </c>
      <c r="Y3" s="799"/>
      <c r="Z3" s="800"/>
      <c r="AA3" s="687"/>
      <c r="AB3" s="798" t="s">
        <v>1124</v>
      </c>
      <c r="AC3" s="799"/>
      <c r="AD3" s="800"/>
      <c r="AE3" s="687"/>
      <c r="AF3" s="798" t="s">
        <v>1363</v>
      </c>
      <c r="AG3" s="799"/>
      <c r="AH3" s="799"/>
      <c r="AI3" s="800"/>
      <c r="AJ3" s="688"/>
      <c r="AK3" s="798" t="s">
        <v>1592</v>
      </c>
      <c r="AL3" s="799"/>
      <c r="AM3" s="800"/>
      <c r="AN3" s="688"/>
      <c r="AO3" s="801" t="s">
        <v>1593</v>
      </c>
      <c r="AP3" s="801"/>
      <c r="AQ3" s="801"/>
      <c r="AR3" s="801"/>
    </row>
    <row r="4" spans="1:44" ht="33" x14ac:dyDescent="0.3">
      <c r="A4" s="689" t="s">
        <v>272</v>
      </c>
      <c r="B4" s="689"/>
      <c r="C4" s="690" t="s">
        <v>1609</v>
      </c>
      <c r="D4" s="691" t="s">
        <v>98</v>
      </c>
      <c r="E4" s="691" t="s">
        <v>27</v>
      </c>
      <c r="F4" s="691" t="s">
        <v>273</v>
      </c>
      <c r="H4" s="691" t="s">
        <v>98</v>
      </c>
      <c r="I4" s="691" t="s">
        <v>27</v>
      </c>
      <c r="J4" s="691" t="s">
        <v>273</v>
      </c>
      <c r="L4" s="691" t="s">
        <v>98</v>
      </c>
      <c r="M4" s="691" t="s">
        <v>27</v>
      </c>
      <c r="N4" s="691" t="s">
        <v>273</v>
      </c>
      <c r="P4" s="691" t="s">
        <v>98</v>
      </c>
      <c r="Q4" s="691" t="s">
        <v>27</v>
      </c>
      <c r="R4" s="691" t="s">
        <v>273</v>
      </c>
      <c r="T4" s="691" t="s">
        <v>98</v>
      </c>
      <c r="U4" s="691" t="s">
        <v>27</v>
      </c>
      <c r="V4" s="691" t="s">
        <v>273</v>
      </c>
      <c r="X4" s="691" t="s">
        <v>98</v>
      </c>
      <c r="Y4" s="691" t="s">
        <v>27</v>
      </c>
      <c r="Z4" s="691" t="s">
        <v>273</v>
      </c>
      <c r="AB4" s="691" t="s">
        <v>98</v>
      </c>
      <c r="AC4" s="691" t="s">
        <v>27</v>
      </c>
      <c r="AD4" s="691" t="s">
        <v>273</v>
      </c>
      <c r="AF4" s="691" t="s">
        <v>98</v>
      </c>
      <c r="AG4" s="693" t="s">
        <v>1369</v>
      </c>
      <c r="AH4" s="691" t="s">
        <v>27</v>
      </c>
      <c r="AI4" s="691" t="s">
        <v>273</v>
      </c>
      <c r="AJ4" s="691"/>
      <c r="AK4" s="691" t="s">
        <v>98</v>
      </c>
      <c r="AL4" s="694" t="s">
        <v>1714</v>
      </c>
      <c r="AM4" s="691" t="s">
        <v>273</v>
      </c>
      <c r="AN4" s="691"/>
      <c r="AO4" s="695" t="s">
        <v>274</v>
      </c>
      <c r="AP4" s="696" t="s">
        <v>107</v>
      </c>
      <c r="AQ4" s="742" t="s">
        <v>28</v>
      </c>
      <c r="AR4" s="743" t="s">
        <v>275</v>
      </c>
    </row>
    <row r="5" spans="1:44" ht="18.75" customHeight="1" x14ac:dyDescent="0.3">
      <c r="C5" s="686" t="s">
        <v>276</v>
      </c>
      <c r="AO5" s="692"/>
      <c r="AP5" s="692"/>
      <c r="AR5" s="686"/>
    </row>
    <row r="6" spans="1:44" ht="18.75" customHeight="1" x14ac:dyDescent="0.3">
      <c r="D6" s="714"/>
      <c r="E6" s="714"/>
      <c r="F6" s="701"/>
      <c r="H6" s="714"/>
      <c r="I6" s="714"/>
      <c r="J6" s="701"/>
      <c r="L6" s="714"/>
      <c r="M6" s="714"/>
      <c r="N6" s="701"/>
      <c r="P6" s="714"/>
      <c r="Q6" s="714"/>
      <c r="R6" s="701"/>
      <c r="T6" s="714"/>
      <c r="U6" s="714"/>
      <c r="V6" s="701"/>
      <c r="X6" s="714"/>
      <c r="Y6" s="714"/>
      <c r="Z6" s="701"/>
      <c r="AB6" s="714"/>
      <c r="AC6" s="714"/>
      <c r="AD6" s="701"/>
      <c r="AF6" s="714"/>
      <c r="AG6" s="746"/>
      <c r="AH6" s="714"/>
      <c r="AI6" s="701"/>
      <c r="AJ6" s="701"/>
      <c r="AK6" s="714"/>
      <c r="AL6" s="714"/>
      <c r="AM6" s="701"/>
      <c r="AN6" s="701"/>
      <c r="AO6" s="714"/>
      <c r="AQ6" s="701"/>
    </row>
    <row r="7" spans="1:44" s="712" customFormat="1" ht="18.75" customHeight="1" x14ac:dyDescent="0.3">
      <c r="A7" s="708"/>
      <c r="B7" s="708"/>
      <c r="C7" s="708" t="s">
        <v>26</v>
      </c>
      <c r="D7" s="709">
        <v>0</v>
      </c>
      <c r="E7" s="709">
        <v>0</v>
      </c>
      <c r="F7" s="710"/>
      <c r="G7" s="708"/>
      <c r="H7" s="709">
        <v>0</v>
      </c>
      <c r="I7" s="709">
        <v>0</v>
      </c>
      <c r="J7" s="710"/>
      <c r="K7" s="708"/>
      <c r="L7" s="709">
        <v>0</v>
      </c>
      <c r="M7" s="709">
        <v>0</v>
      </c>
      <c r="N7" s="710"/>
      <c r="O7" s="708"/>
      <c r="P7" s="709">
        <v>0</v>
      </c>
      <c r="Q7" s="709">
        <v>0</v>
      </c>
      <c r="R7" s="710"/>
      <c r="S7" s="708"/>
      <c r="T7" s="709">
        <v>0</v>
      </c>
      <c r="U7" s="709">
        <v>0</v>
      </c>
      <c r="V7" s="710"/>
      <c r="W7" s="708"/>
      <c r="X7" s="709">
        <v>0</v>
      </c>
      <c r="Y7" s="709">
        <v>0</v>
      </c>
      <c r="Z7" s="710"/>
      <c r="AA7" s="708"/>
      <c r="AB7" s="709">
        <v>0</v>
      </c>
      <c r="AC7" s="709">
        <v>0</v>
      </c>
      <c r="AD7" s="710"/>
      <c r="AE7" s="708"/>
      <c r="AF7" s="709">
        <v>0</v>
      </c>
      <c r="AG7" s="709">
        <v>0</v>
      </c>
      <c r="AH7" s="709">
        <v>0</v>
      </c>
      <c r="AI7" s="710"/>
      <c r="AJ7" s="710"/>
      <c r="AK7" s="709">
        <v>0</v>
      </c>
      <c r="AL7" s="709">
        <v>0</v>
      </c>
      <c r="AM7" s="710"/>
      <c r="AN7" s="710"/>
      <c r="AO7" s="709">
        <v>0</v>
      </c>
      <c r="AP7" s="709">
        <v>0</v>
      </c>
      <c r="AQ7" s="710"/>
      <c r="AR7" s="708"/>
    </row>
    <row r="8" spans="1:44" ht="18.75" customHeight="1" x14ac:dyDescent="0.3">
      <c r="D8" s="714"/>
      <c r="E8" s="714"/>
      <c r="F8" s="701"/>
      <c r="H8" s="714"/>
      <c r="I8" s="714"/>
      <c r="J8" s="701"/>
      <c r="L8" s="714"/>
      <c r="M8" s="714"/>
      <c r="N8" s="701"/>
      <c r="P8" s="714"/>
      <c r="Q8" s="714"/>
      <c r="R8" s="701"/>
      <c r="T8" s="714"/>
      <c r="U8" s="714"/>
      <c r="V8" s="701"/>
      <c r="X8" s="714"/>
      <c r="Y8" s="714"/>
      <c r="Z8" s="701"/>
      <c r="AB8" s="714"/>
      <c r="AC8" s="714"/>
      <c r="AD8" s="701"/>
      <c r="AF8" s="704"/>
      <c r="AG8" s="704"/>
      <c r="AH8" s="714"/>
      <c r="AI8" s="701"/>
      <c r="AJ8" s="701"/>
      <c r="AK8" s="704"/>
      <c r="AL8" s="714"/>
      <c r="AM8" s="701"/>
      <c r="AN8" s="701"/>
      <c r="AQ8" s="701"/>
    </row>
    <row r="9" spans="1:44" ht="18.75" customHeight="1" x14ac:dyDescent="0.3">
      <c r="C9" s="686" t="s">
        <v>277</v>
      </c>
      <c r="D9" s="714"/>
      <c r="E9" s="714"/>
      <c r="F9" s="701"/>
      <c r="H9" s="714"/>
      <c r="I9" s="714"/>
      <c r="J9" s="701"/>
      <c r="L9" s="714"/>
      <c r="M9" s="714"/>
      <c r="N9" s="701"/>
      <c r="P9" s="714"/>
      <c r="Q9" s="714"/>
      <c r="R9" s="701"/>
      <c r="T9" s="714"/>
      <c r="U9" s="714"/>
      <c r="V9" s="701"/>
      <c r="X9" s="714"/>
      <c r="Y9" s="714"/>
      <c r="Z9" s="701"/>
      <c r="AB9" s="714"/>
      <c r="AC9" s="714"/>
      <c r="AD9" s="701"/>
      <c r="AF9" s="704"/>
      <c r="AG9" s="704"/>
      <c r="AH9" s="714"/>
      <c r="AI9" s="701"/>
      <c r="AJ9" s="701"/>
      <c r="AK9" s="704"/>
      <c r="AL9" s="714"/>
      <c r="AM9" s="701"/>
      <c r="AN9" s="701"/>
      <c r="AQ9" s="701"/>
      <c r="AR9" s="686"/>
    </row>
    <row r="10" spans="1:44" ht="18.75" customHeight="1" x14ac:dyDescent="0.3">
      <c r="A10" s="699" t="s">
        <v>278</v>
      </c>
      <c r="B10" s="699">
        <v>5730</v>
      </c>
      <c r="C10" s="698" t="s">
        <v>1594</v>
      </c>
      <c r="D10" s="714">
        <v>100</v>
      </c>
      <c r="E10" s="714">
        <v>100</v>
      </c>
      <c r="F10" s="701"/>
      <c r="H10" s="714">
        <v>100</v>
      </c>
      <c r="I10" s="714">
        <v>100</v>
      </c>
      <c r="J10" s="701"/>
      <c r="L10" s="714">
        <v>100</v>
      </c>
      <c r="M10" s="714">
        <v>100</v>
      </c>
      <c r="N10" s="701"/>
      <c r="P10" s="714">
        <v>100</v>
      </c>
      <c r="Q10" s="714">
        <v>100</v>
      </c>
      <c r="R10" s="701"/>
      <c r="T10" s="714">
        <v>100</v>
      </c>
      <c r="U10" s="714">
        <v>100</v>
      </c>
      <c r="V10" s="701"/>
      <c r="X10" s="714">
        <v>100</v>
      </c>
      <c r="Y10" s="714">
        <v>100</v>
      </c>
      <c r="Z10" s="701"/>
      <c r="AB10" s="714">
        <v>100</v>
      </c>
      <c r="AC10" s="714">
        <v>100</v>
      </c>
      <c r="AD10" s="701"/>
      <c r="AF10" s="700">
        <v>100</v>
      </c>
      <c r="AG10" s="700">
        <v>100</v>
      </c>
      <c r="AH10" s="700">
        <v>100</v>
      </c>
      <c r="AI10" s="701">
        <v>0</v>
      </c>
      <c r="AJ10" s="701"/>
      <c r="AK10" s="700">
        <v>100</v>
      </c>
      <c r="AL10" s="700">
        <v>0</v>
      </c>
      <c r="AM10" s="701">
        <v>0</v>
      </c>
      <c r="AN10" s="701"/>
      <c r="AO10" s="700">
        <v>100</v>
      </c>
      <c r="AP10" s="700">
        <v>0</v>
      </c>
      <c r="AQ10" s="701">
        <v>0</v>
      </c>
    </row>
    <row r="11" spans="1:44" s="712" customFormat="1" ht="18.75" customHeight="1" x14ac:dyDescent="0.3">
      <c r="A11" s="715"/>
      <c r="B11" s="715"/>
      <c r="C11" s="715" t="s">
        <v>279</v>
      </c>
      <c r="D11" s="716">
        <v>100</v>
      </c>
      <c r="E11" s="716">
        <v>100</v>
      </c>
      <c r="F11" s="717">
        <v>0</v>
      </c>
      <c r="G11" s="715"/>
      <c r="H11" s="716">
        <v>100</v>
      </c>
      <c r="I11" s="716">
        <v>100</v>
      </c>
      <c r="J11" s="717">
        <v>0</v>
      </c>
      <c r="K11" s="715"/>
      <c r="L11" s="716">
        <v>100</v>
      </c>
      <c r="M11" s="716">
        <v>100</v>
      </c>
      <c r="N11" s="717">
        <v>0</v>
      </c>
      <c r="O11" s="715"/>
      <c r="P11" s="716">
        <v>100</v>
      </c>
      <c r="Q11" s="716">
        <v>100</v>
      </c>
      <c r="R11" s="717">
        <v>0</v>
      </c>
      <c r="S11" s="715"/>
      <c r="T11" s="716">
        <v>100</v>
      </c>
      <c r="U11" s="716">
        <v>100</v>
      </c>
      <c r="V11" s="717">
        <v>0</v>
      </c>
      <c r="W11" s="715"/>
      <c r="X11" s="716">
        <v>100</v>
      </c>
      <c r="Y11" s="716">
        <v>100</v>
      </c>
      <c r="Z11" s="718">
        <v>0</v>
      </c>
      <c r="AA11" s="715"/>
      <c r="AB11" s="716">
        <v>100</v>
      </c>
      <c r="AC11" s="716">
        <v>100</v>
      </c>
      <c r="AD11" s="717">
        <v>0</v>
      </c>
      <c r="AE11" s="715"/>
      <c r="AF11" s="716">
        <v>100</v>
      </c>
      <c r="AG11" s="716">
        <v>100</v>
      </c>
      <c r="AH11" s="716">
        <v>100</v>
      </c>
      <c r="AI11" s="717">
        <v>0</v>
      </c>
      <c r="AJ11" s="717"/>
      <c r="AK11" s="716">
        <v>100</v>
      </c>
      <c r="AL11" s="716">
        <v>0</v>
      </c>
      <c r="AM11" s="717">
        <v>0</v>
      </c>
      <c r="AN11" s="717"/>
      <c r="AO11" s="719">
        <v>100</v>
      </c>
      <c r="AP11" s="716">
        <v>0</v>
      </c>
      <c r="AQ11" s="717">
        <v>0</v>
      </c>
      <c r="AR11" s="715"/>
    </row>
    <row r="12" spans="1:44" ht="18.75" customHeight="1" x14ac:dyDescent="0.3">
      <c r="D12" s="714"/>
      <c r="E12" s="714"/>
      <c r="F12" s="701"/>
      <c r="H12" s="714"/>
      <c r="I12" s="714"/>
      <c r="J12" s="701"/>
      <c r="L12" s="714"/>
      <c r="M12" s="714"/>
      <c r="N12" s="701"/>
      <c r="P12" s="714"/>
      <c r="Q12" s="714"/>
      <c r="R12" s="701"/>
      <c r="T12" s="714"/>
      <c r="U12" s="714"/>
      <c r="V12" s="701"/>
      <c r="X12" s="714"/>
      <c r="Y12" s="714"/>
      <c r="Z12" s="701"/>
      <c r="AB12" s="714"/>
      <c r="AC12" s="714"/>
      <c r="AD12" s="701"/>
      <c r="AF12" s="714"/>
      <c r="AG12" s="714"/>
      <c r="AH12" s="714"/>
      <c r="AI12" s="701"/>
      <c r="AJ12" s="701"/>
      <c r="AK12" s="714"/>
      <c r="AL12" s="714"/>
      <c r="AM12" s="701"/>
      <c r="AN12" s="701"/>
      <c r="AP12" s="714"/>
      <c r="AQ12" s="701"/>
    </row>
    <row r="13" spans="1:44" s="712" customFormat="1" ht="18.75" customHeight="1" x14ac:dyDescent="0.2">
      <c r="A13" s="720"/>
      <c r="B13" s="720"/>
      <c r="C13" s="744" t="s">
        <v>280</v>
      </c>
      <c r="D13" s="722">
        <v>100</v>
      </c>
      <c r="E13" s="722">
        <v>100</v>
      </c>
      <c r="F13" s="723">
        <v>0</v>
      </c>
      <c r="G13" s="720"/>
      <c r="H13" s="722">
        <v>100</v>
      </c>
      <c r="I13" s="722">
        <v>100</v>
      </c>
      <c r="J13" s="723">
        <v>0</v>
      </c>
      <c r="K13" s="720"/>
      <c r="L13" s="722">
        <v>100</v>
      </c>
      <c r="M13" s="722">
        <v>100</v>
      </c>
      <c r="N13" s="723">
        <v>0</v>
      </c>
      <c r="O13" s="720"/>
      <c r="P13" s="722">
        <v>100</v>
      </c>
      <c r="Q13" s="722">
        <v>100</v>
      </c>
      <c r="R13" s="723">
        <v>0</v>
      </c>
      <c r="S13" s="720"/>
      <c r="T13" s="722">
        <v>100</v>
      </c>
      <c r="U13" s="722">
        <v>100</v>
      </c>
      <c r="V13" s="723">
        <v>0</v>
      </c>
      <c r="W13" s="720"/>
      <c r="X13" s="722">
        <v>100</v>
      </c>
      <c r="Y13" s="722">
        <v>100</v>
      </c>
      <c r="Z13" s="723">
        <v>0</v>
      </c>
      <c r="AA13" s="720"/>
      <c r="AB13" s="722">
        <v>100</v>
      </c>
      <c r="AC13" s="722">
        <v>100</v>
      </c>
      <c r="AD13" s="723">
        <v>0</v>
      </c>
      <c r="AE13" s="720"/>
      <c r="AF13" s="722">
        <v>100</v>
      </c>
      <c r="AG13" s="722">
        <v>100</v>
      </c>
      <c r="AH13" s="722">
        <v>100</v>
      </c>
      <c r="AI13" s="723">
        <v>0</v>
      </c>
      <c r="AJ13" s="723"/>
      <c r="AK13" s="722">
        <v>100</v>
      </c>
      <c r="AL13" s="722">
        <v>0</v>
      </c>
      <c r="AM13" s="723">
        <v>0</v>
      </c>
      <c r="AN13" s="723"/>
      <c r="AO13" s="725">
        <v>100</v>
      </c>
      <c r="AP13" s="722">
        <v>0</v>
      </c>
      <c r="AQ13" s="723">
        <v>0</v>
      </c>
      <c r="AR13" s="744"/>
    </row>
    <row r="14" spans="1:44" ht="18.75" customHeight="1" x14ac:dyDescent="0.3">
      <c r="D14" s="726"/>
      <c r="F14" s="701"/>
      <c r="H14" s="726"/>
      <c r="J14" s="701"/>
      <c r="L14" s="726"/>
      <c r="N14" s="701"/>
      <c r="P14" s="726"/>
      <c r="R14" s="701"/>
      <c r="T14" s="726"/>
      <c r="V14" s="701"/>
      <c r="X14" s="726"/>
      <c r="AB14" s="726"/>
      <c r="AF14" s="726"/>
      <c r="AG14" s="726"/>
      <c r="AK14" s="726"/>
    </row>
    <row r="15" spans="1:44" s="686" customFormat="1" ht="18.75" customHeight="1" thickBot="1" x14ac:dyDescent="0.35">
      <c r="C15" s="686" t="s">
        <v>281</v>
      </c>
      <c r="D15" s="727"/>
      <c r="E15" s="728">
        <v>0</v>
      </c>
      <c r="F15" s="701"/>
      <c r="G15" s="687"/>
      <c r="H15" s="727"/>
      <c r="I15" s="728">
        <v>0</v>
      </c>
      <c r="J15" s="701"/>
      <c r="K15" s="687"/>
      <c r="L15" s="727"/>
      <c r="M15" s="728">
        <v>0</v>
      </c>
      <c r="N15" s="701"/>
      <c r="O15" s="687"/>
      <c r="P15" s="727"/>
      <c r="Q15" s="728">
        <v>0</v>
      </c>
      <c r="R15" s="701"/>
      <c r="S15" s="687"/>
      <c r="T15" s="727"/>
      <c r="U15" s="728">
        <v>0</v>
      </c>
      <c r="V15" s="701"/>
      <c r="W15" s="687"/>
      <c r="X15" s="727"/>
      <c r="Y15" s="728">
        <v>0</v>
      </c>
      <c r="AA15" s="687"/>
      <c r="AB15" s="727"/>
      <c r="AC15" s="728">
        <v>0</v>
      </c>
      <c r="AE15" s="687"/>
      <c r="AF15" s="727"/>
      <c r="AG15" s="727"/>
      <c r="AH15" s="728">
        <v>0</v>
      </c>
      <c r="AK15" s="727"/>
      <c r="AL15" s="728">
        <v>100</v>
      </c>
      <c r="AO15" s="745"/>
      <c r="AP15" s="745"/>
    </row>
    <row r="16" spans="1:44" ht="17.25" thickTop="1" x14ac:dyDescent="0.3">
      <c r="D16" s="726"/>
      <c r="F16" s="701"/>
      <c r="H16" s="726"/>
      <c r="J16" s="701"/>
      <c r="L16" s="726"/>
      <c r="N16" s="701"/>
      <c r="P16" s="726"/>
      <c r="R16" s="701"/>
      <c r="T16" s="726"/>
      <c r="V16" s="701"/>
      <c r="X16" s="726"/>
      <c r="AB16" s="726"/>
      <c r="AF16" s="726"/>
      <c r="AG16" s="726"/>
      <c r="AK16" s="726"/>
    </row>
    <row r="17" spans="4:37" x14ac:dyDescent="0.3">
      <c r="D17" s="726"/>
      <c r="F17" s="701"/>
      <c r="H17" s="726"/>
      <c r="J17" s="701"/>
      <c r="L17" s="726"/>
      <c r="N17" s="701"/>
      <c r="P17" s="726"/>
      <c r="R17" s="701"/>
      <c r="T17" s="726"/>
      <c r="V17" s="701"/>
      <c r="X17" s="726"/>
      <c r="AB17" s="726"/>
      <c r="AF17" s="726"/>
      <c r="AG17" s="726"/>
      <c r="AK17" s="726"/>
    </row>
    <row r="18" spans="4:37" x14ac:dyDescent="0.3">
      <c r="D18" s="726"/>
      <c r="F18" s="701"/>
      <c r="H18" s="726"/>
      <c r="J18" s="701"/>
      <c r="L18" s="726"/>
      <c r="N18" s="701"/>
      <c r="P18" s="726"/>
      <c r="R18" s="701"/>
      <c r="T18" s="726"/>
      <c r="V18" s="701"/>
      <c r="X18" s="726"/>
      <c r="AB18" s="726"/>
      <c r="AF18" s="726"/>
      <c r="AG18" s="726"/>
      <c r="AK18" s="726"/>
    </row>
    <row r="19" spans="4:37" x14ac:dyDescent="0.3">
      <c r="D19" s="726"/>
      <c r="F19" s="701"/>
      <c r="H19" s="726"/>
      <c r="J19" s="701"/>
      <c r="L19" s="726"/>
      <c r="N19" s="701"/>
      <c r="P19" s="726"/>
      <c r="R19" s="701"/>
      <c r="T19" s="726"/>
      <c r="V19" s="701"/>
      <c r="X19" s="726"/>
      <c r="AB19" s="726"/>
      <c r="AD19" s="698" t="s">
        <v>6</v>
      </c>
      <c r="AF19" s="726"/>
      <c r="AG19" s="726"/>
      <c r="AK19" s="726"/>
    </row>
    <row r="20" spans="4:37" x14ac:dyDescent="0.3">
      <c r="D20" s="726"/>
      <c r="F20" s="701"/>
      <c r="H20" s="726"/>
      <c r="J20" s="701"/>
      <c r="L20" s="726"/>
      <c r="N20" s="701"/>
      <c r="P20" s="726"/>
      <c r="R20" s="701"/>
      <c r="T20" s="726"/>
      <c r="V20" s="701"/>
      <c r="X20" s="726"/>
      <c r="AB20" s="726"/>
      <c r="AF20" s="726"/>
      <c r="AG20" s="726"/>
      <c r="AK20" s="726"/>
    </row>
    <row r="21" spans="4:37" x14ac:dyDescent="0.3">
      <c r="D21" s="726"/>
      <c r="F21" s="701"/>
      <c r="H21" s="726"/>
      <c r="J21" s="701"/>
      <c r="L21" s="726"/>
      <c r="N21" s="701"/>
      <c r="P21" s="726"/>
      <c r="R21" s="701"/>
      <c r="T21" s="726"/>
      <c r="V21" s="701"/>
      <c r="X21" s="726"/>
      <c r="AB21" s="726"/>
      <c r="AF21" s="726"/>
      <c r="AG21" s="726"/>
      <c r="AK21" s="726"/>
    </row>
    <row r="22" spans="4:37" x14ac:dyDescent="0.3">
      <c r="D22" s="726"/>
      <c r="F22" s="701"/>
      <c r="H22" s="726"/>
      <c r="J22" s="701"/>
      <c r="L22" s="726"/>
      <c r="N22" s="701"/>
      <c r="P22" s="726"/>
      <c r="R22" s="701"/>
      <c r="T22" s="726"/>
      <c r="V22" s="701"/>
      <c r="X22" s="726"/>
      <c r="AB22" s="726"/>
      <c r="AF22" s="726"/>
      <c r="AG22" s="726"/>
      <c r="AK22" s="726"/>
    </row>
    <row r="23" spans="4:37" x14ac:dyDescent="0.3">
      <c r="D23" s="726"/>
      <c r="F23" s="701"/>
      <c r="H23" s="726"/>
      <c r="J23" s="701"/>
      <c r="L23" s="726"/>
      <c r="N23" s="701"/>
      <c r="P23" s="726"/>
      <c r="R23" s="701"/>
      <c r="T23" s="726"/>
      <c r="V23" s="701"/>
      <c r="X23" s="726"/>
      <c r="AB23" s="726"/>
      <c r="AF23" s="726"/>
      <c r="AG23" s="726"/>
      <c r="AK23" s="726"/>
    </row>
    <row r="24" spans="4:37" x14ac:dyDescent="0.3">
      <c r="D24" s="726"/>
      <c r="F24" s="701"/>
      <c r="H24" s="726"/>
      <c r="J24" s="701"/>
      <c r="L24" s="726"/>
      <c r="N24" s="701"/>
      <c r="P24" s="726"/>
      <c r="R24" s="701"/>
      <c r="T24" s="726"/>
      <c r="V24" s="701"/>
      <c r="X24" s="726"/>
      <c r="AB24" s="726"/>
      <c r="AF24" s="726"/>
      <c r="AG24" s="726"/>
      <c r="AK24" s="726"/>
    </row>
    <row r="25" spans="4:37" x14ac:dyDescent="0.3">
      <c r="D25" s="726"/>
      <c r="F25" s="701"/>
      <c r="H25" s="726"/>
      <c r="J25" s="701"/>
      <c r="L25" s="726"/>
      <c r="N25" s="701"/>
      <c r="P25" s="726"/>
      <c r="R25" s="701"/>
      <c r="T25" s="726"/>
      <c r="V25" s="701"/>
      <c r="X25" s="726"/>
      <c r="AB25" s="726"/>
      <c r="AF25" s="726"/>
      <c r="AG25" s="726"/>
      <c r="AK25" s="726"/>
    </row>
    <row r="26" spans="4:37" x14ac:dyDescent="0.3">
      <c r="D26" s="726"/>
      <c r="F26" s="701"/>
      <c r="H26" s="726"/>
      <c r="J26" s="701"/>
      <c r="L26" s="726"/>
      <c r="N26" s="701"/>
      <c r="P26" s="726"/>
      <c r="R26" s="701"/>
      <c r="T26" s="726"/>
      <c r="V26" s="701"/>
      <c r="X26" s="726"/>
      <c r="AB26" s="726"/>
      <c r="AF26" s="726"/>
      <c r="AG26" s="726"/>
      <c r="AK26" s="726"/>
    </row>
    <row r="27" spans="4:37" x14ac:dyDescent="0.3">
      <c r="D27" s="726"/>
      <c r="F27" s="701"/>
      <c r="H27" s="726"/>
      <c r="J27" s="701"/>
      <c r="L27" s="726"/>
      <c r="N27" s="701"/>
      <c r="P27" s="726"/>
      <c r="R27" s="701"/>
      <c r="T27" s="726"/>
      <c r="V27" s="701"/>
      <c r="X27" s="726"/>
      <c r="AB27" s="726"/>
      <c r="AF27" s="726"/>
      <c r="AG27" s="726"/>
      <c r="AK27" s="726"/>
    </row>
    <row r="28" spans="4:37" x14ac:dyDescent="0.3">
      <c r="D28" s="726"/>
      <c r="F28" s="701"/>
      <c r="H28" s="726"/>
      <c r="J28" s="701"/>
      <c r="L28" s="726"/>
      <c r="N28" s="701"/>
      <c r="P28" s="726"/>
      <c r="R28" s="701"/>
      <c r="T28" s="726"/>
      <c r="V28" s="701"/>
      <c r="X28" s="726"/>
      <c r="AB28" s="726"/>
      <c r="AF28" s="726"/>
      <c r="AG28" s="726"/>
      <c r="AK28" s="726"/>
    </row>
    <row r="29" spans="4:37" x14ac:dyDescent="0.3">
      <c r="D29" s="726"/>
      <c r="F29" s="701"/>
      <c r="H29" s="726"/>
      <c r="J29" s="701"/>
      <c r="L29" s="726"/>
      <c r="N29" s="701"/>
      <c r="P29" s="726"/>
      <c r="R29" s="701"/>
      <c r="T29" s="726"/>
      <c r="V29" s="701"/>
      <c r="X29" s="726"/>
      <c r="AB29" s="726"/>
      <c r="AF29" s="726"/>
      <c r="AG29" s="726"/>
      <c r="AK29" s="726"/>
    </row>
    <row r="30" spans="4:37" x14ac:dyDescent="0.3">
      <c r="D30" s="726"/>
      <c r="F30" s="701"/>
      <c r="H30" s="726"/>
      <c r="J30" s="701"/>
      <c r="L30" s="726"/>
      <c r="N30" s="701"/>
      <c r="P30" s="726"/>
      <c r="R30" s="701"/>
      <c r="T30" s="726"/>
      <c r="V30" s="701"/>
      <c r="X30" s="726"/>
      <c r="AB30" s="726"/>
      <c r="AF30" s="726"/>
      <c r="AG30" s="726"/>
      <c r="AK30" s="726"/>
    </row>
    <row r="31" spans="4:37" x14ac:dyDescent="0.3">
      <c r="D31" s="726"/>
      <c r="F31" s="701"/>
      <c r="H31" s="726"/>
      <c r="J31" s="701"/>
      <c r="L31" s="726"/>
      <c r="N31" s="701"/>
      <c r="P31" s="726"/>
      <c r="R31" s="701"/>
      <c r="T31" s="726"/>
      <c r="V31" s="701"/>
      <c r="X31" s="726"/>
      <c r="AB31" s="726"/>
      <c r="AF31" s="726"/>
      <c r="AG31" s="726"/>
      <c r="AK31" s="726"/>
    </row>
    <row r="32" spans="4:37" x14ac:dyDescent="0.3">
      <c r="D32" s="726"/>
      <c r="F32" s="701"/>
      <c r="H32" s="726"/>
      <c r="J32" s="701"/>
      <c r="L32" s="726"/>
      <c r="N32" s="701"/>
      <c r="P32" s="726"/>
      <c r="R32" s="701"/>
      <c r="T32" s="726"/>
      <c r="V32" s="701"/>
      <c r="X32" s="726"/>
      <c r="AB32" s="726"/>
      <c r="AF32" s="726"/>
      <c r="AG32" s="726"/>
      <c r="AK32" s="726"/>
    </row>
    <row r="33" spans="4:37" x14ac:dyDescent="0.3">
      <c r="D33" s="726"/>
      <c r="F33" s="701"/>
      <c r="H33" s="726"/>
      <c r="J33" s="701"/>
      <c r="L33" s="726"/>
      <c r="N33" s="701"/>
      <c r="P33" s="726"/>
      <c r="R33" s="701"/>
      <c r="T33" s="726"/>
      <c r="V33" s="701"/>
      <c r="X33" s="726"/>
      <c r="AB33" s="726"/>
      <c r="AF33" s="726"/>
      <c r="AG33" s="726"/>
      <c r="AK33" s="726"/>
    </row>
    <row r="34" spans="4:37" x14ac:dyDescent="0.3">
      <c r="D34" s="726"/>
      <c r="F34" s="701"/>
      <c r="H34" s="726"/>
      <c r="J34" s="701"/>
      <c r="L34" s="726"/>
      <c r="N34" s="701"/>
      <c r="P34" s="726"/>
      <c r="R34" s="701"/>
      <c r="T34" s="726"/>
      <c r="V34" s="701"/>
      <c r="X34" s="726"/>
      <c r="AB34" s="726"/>
      <c r="AF34" s="726"/>
      <c r="AG34" s="726"/>
      <c r="AK34" s="726"/>
    </row>
    <row r="35" spans="4:37" x14ac:dyDescent="0.3">
      <c r="D35" s="726"/>
      <c r="F35" s="701"/>
      <c r="H35" s="726"/>
      <c r="J35" s="701"/>
      <c r="L35" s="726"/>
      <c r="N35" s="701"/>
      <c r="P35" s="726"/>
      <c r="R35" s="701"/>
      <c r="T35" s="726"/>
      <c r="V35" s="701"/>
      <c r="X35" s="726"/>
      <c r="AB35" s="726"/>
      <c r="AF35" s="726"/>
      <c r="AG35" s="726"/>
      <c r="AK35" s="726"/>
    </row>
    <row r="36" spans="4:37" x14ac:dyDescent="0.3">
      <c r="D36" s="726"/>
      <c r="F36" s="701"/>
      <c r="H36" s="726"/>
      <c r="J36" s="701"/>
      <c r="L36" s="726"/>
      <c r="N36" s="701"/>
      <c r="P36" s="726"/>
      <c r="R36" s="701"/>
      <c r="T36" s="726"/>
      <c r="V36" s="701"/>
      <c r="X36" s="726"/>
      <c r="AB36" s="726"/>
      <c r="AF36" s="726"/>
      <c r="AG36" s="726"/>
      <c r="AK36" s="726"/>
    </row>
    <row r="37" spans="4:37" x14ac:dyDescent="0.3">
      <c r="D37" s="726"/>
      <c r="F37" s="701"/>
      <c r="H37" s="726"/>
      <c r="J37" s="701"/>
      <c r="L37" s="726"/>
      <c r="N37" s="701"/>
      <c r="P37" s="726"/>
      <c r="R37" s="701"/>
      <c r="T37" s="726"/>
      <c r="V37" s="701"/>
      <c r="X37" s="726"/>
      <c r="AB37" s="726"/>
      <c r="AF37" s="726"/>
      <c r="AG37" s="726"/>
      <c r="AK37" s="726"/>
    </row>
    <row r="38" spans="4:37" x14ac:dyDescent="0.3">
      <c r="D38" s="726"/>
      <c r="F38" s="701"/>
      <c r="H38" s="726"/>
      <c r="J38" s="701"/>
      <c r="L38" s="726"/>
      <c r="N38" s="701"/>
      <c r="P38" s="726"/>
      <c r="R38" s="701"/>
      <c r="T38" s="726"/>
      <c r="V38" s="701"/>
      <c r="X38" s="726"/>
      <c r="AB38" s="726"/>
      <c r="AF38" s="726"/>
      <c r="AG38" s="726"/>
      <c r="AK38" s="726"/>
    </row>
    <row r="39" spans="4:37" x14ac:dyDescent="0.3">
      <c r="D39" s="726"/>
      <c r="F39" s="701"/>
      <c r="H39" s="726"/>
      <c r="J39" s="701"/>
      <c r="L39" s="726"/>
      <c r="N39" s="701"/>
      <c r="P39" s="726"/>
      <c r="R39" s="701"/>
      <c r="T39" s="726"/>
      <c r="V39" s="701"/>
      <c r="X39" s="726"/>
      <c r="AB39" s="726"/>
      <c r="AF39" s="726"/>
      <c r="AG39" s="726"/>
      <c r="AK39" s="726"/>
    </row>
    <row r="40" spans="4:37" x14ac:dyDescent="0.3">
      <c r="D40" s="726"/>
      <c r="H40" s="726"/>
      <c r="L40" s="726"/>
      <c r="P40" s="726"/>
      <c r="T40" s="726"/>
      <c r="X40" s="726"/>
      <c r="AB40" s="726"/>
      <c r="AF40" s="726"/>
      <c r="AG40" s="726"/>
      <c r="AK40" s="726"/>
    </row>
    <row r="41" spans="4:37" x14ac:dyDescent="0.3">
      <c r="D41" s="726"/>
      <c r="H41" s="726"/>
      <c r="L41" s="726"/>
      <c r="P41" s="726"/>
      <c r="T41" s="726"/>
      <c r="X41" s="726"/>
      <c r="AB41" s="726"/>
      <c r="AF41" s="726"/>
      <c r="AG41" s="726"/>
      <c r="AK41" s="726"/>
    </row>
    <row r="42" spans="4:37" x14ac:dyDescent="0.3">
      <c r="D42" s="726"/>
      <c r="H42" s="726"/>
      <c r="L42" s="726"/>
      <c r="P42" s="726"/>
      <c r="T42" s="726"/>
      <c r="X42" s="726"/>
      <c r="AB42" s="726"/>
      <c r="AF42" s="726"/>
      <c r="AG42" s="726"/>
      <c r="AK42" s="726"/>
    </row>
    <row r="43" spans="4:37" x14ac:dyDescent="0.3">
      <c r="D43" s="726"/>
      <c r="H43" s="726"/>
      <c r="L43" s="726"/>
      <c r="P43" s="726"/>
      <c r="T43" s="726"/>
      <c r="X43" s="726"/>
      <c r="AB43" s="726"/>
      <c r="AF43" s="726"/>
      <c r="AG43" s="726"/>
      <c r="AK43" s="726"/>
    </row>
    <row r="44" spans="4:37" x14ac:dyDescent="0.3">
      <c r="D44" s="726"/>
      <c r="H44" s="726"/>
      <c r="L44" s="726"/>
      <c r="P44" s="726"/>
      <c r="T44" s="726"/>
      <c r="X44" s="726"/>
      <c r="AB44" s="726"/>
      <c r="AF44" s="726"/>
      <c r="AG44" s="726"/>
      <c r="AK44" s="726"/>
    </row>
    <row r="45" spans="4:37" x14ac:dyDescent="0.3">
      <c r="D45" s="726"/>
      <c r="H45" s="726"/>
      <c r="L45" s="726"/>
      <c r="P45" s="726"/>
      <c r="T45" s="726"/>
      <c r="X45" s="726"/>
      <c r="AB45" s="726"/>
      <c r="AF45" s="726"/>
      <c r="AG45" s="726"/>
      <c r="AK45" s="726"/>
    </row>
    <row r="46" spans="4:37" x14ac:dyDescent="0.3">
      <c r="D46" s="726"/>
      <c r="H46" s="726"/>
      <c r="L46" s="726"/>
      <c r="P46" s="726"/>
      <c r="T46" s="726"/>
      <c r="X46" s="726"/>
      <c r="AB46" s="726"/>
      <c r="AF46" s="726"/>
      <c r="AG46" s="726"/>
      <c r="AK46" s="726"/>
    </row>
    <row r="47" spans="4:37" x14ac:dyDescent="0.3">
      <c r="D47" s="726"/>
      <c r="H47" s="726"/>
      <c r="L47" s="726"/>
      <c r="P47" s="726"/>
      <c r="T47" s="726"/>
      <c r="X47" s="726"/>
      <c r="AB47" s="726"/>
      <c r="AF47" s="726"/>
      <c r="AG47" s="726"/>
      <c r="AK47" s="726"/>
    </row>
    <row r="48" spans="4:37" x14ac:dyDescent="0.3">
      <c r="D48" s="726"/>
      <c r="H48" s="726"/>
      <c r="L48" s="726"/>
      <c r="P48" s="726"/>
      <c r="T48" s="726"/>
      <c r="X48" s="726"/>
      <c r="AB48" s="726"/>
      <c r="AF48" s="726"/>
      <c r="AG48" s="726"/>
      <c r="AK48" s="726"/>
    </row>
    <row r="49" spans="4:37" x14ac:dyDescent="0.3">
      <c r="D49" s="726"/>
      <c r="H49" s="726"/>
      <c r="L49" s="726"/>
      <c r="P49" s="726"/>
      <c r="T49" s="726"/>
      <c r="X49" s="726"/>
      <c r="AB49" s="726"/>
      <c r="AF49" s="726"/>
      <c r="AG49" s="726"/>
      <c r="AK49" s="726"/>
    </row>
    <row r="50" spans="4:37" x14ac:dyDescent="0.3">
      <c r="D50" s="726"/>
      <c r="H50" s="726"/>
      <c r="L50" s="726"/>
      <c r="P50" s="726"/>
      <c r="T50" s="726"/>
      <c r="X50" s="726"/>
      <c r="AB50" s="726"/>
      <c r="AF50" s="726"/>
      <c r="AG50" s="726"/>
      <c r="AK50" s="726"/>
    </row>
    <row r="51" spans="4:37" x14ac:dyDescent="0.3">
      <c r="D51" s="726"/>
      <c r="H51" s="726"/>
      <c r="L51" s="726"/>
      <c r="P51" s="726"/>
      <c r="T51" s="726"/>
      <c r="X51" s="726"/>
      <c r="AB51" s="726"/>
      <c r="AF51" s="726"/>
      <c r="AG51" s="726"/>
      <c r="AK51" s="726"/>
    </row>
    <row r="52" spans="4:37" x14ac:dyDescent="0.3">
      <c r="D52" s="726"/>
      <c r="H52" s="726"/>
      <c r="L52" s="726"/>
      <c r="P52" s="726"/>
      <c r="T52" s="726"/>
      <c r="X52" s="726"/>
      <c r="AB52" s="726"/>
      <c r="AF52" s="726"/>
      <c r="AG52" s="726"/>
      <c r="AK52" s="726"/>
    </row>
    <row r="53" spans="4:37" x14ac:dyDescent="0.3">
      <c r="D53" s="726"/>
      <c r="H53" s="726"/>
      <c r="L53" s="726"/>
      <c r="P53" s="726"/>
      <c r="T53" s="726"/>
      <c r="X53" s="726"/>
      <c r="AB53" s="726"/>
      <c r="AF53" s="726"/>
      <c r="AG53" s="726"/>
      <c r="AK53" s="726"/>
    </row>
    <row r="54" spans="4:37" x14ac:dyDescent="0.3">
      <c r="D54" s="726"/>
      <c r="H54" s="726"/>
      <c r="L54" s="726"/>
      <c r="P54" s="726"/>
      <c r="T54" s="726"/>
      <c r="X54" s="726"/>
      <c r="AB54" s="726"/>
      <c r="AF54" s="726"/>
      <c r="AG54" s="726"/>
      <c r="AK54" s="726"/>
    </row>
    <row r="55" spans="4:37" x14ac:dyDescent="0.3">
      <c r="D55" s="726"/>
      <c r="H55" s="726"/>
      <c r="L55" s="726"/>
      <c r="P55" s="726"/>
      <c r="T55" s="726"/>
      <c r="X55" s="726"/>
      <c r="AB55" s="726"/>
      <c r="AF55" s="726"/>
      <c r="AG55" s="726"/>
      <c r="AK55" s="726"/>
    </row>
    <row r="56" spans="4:37" x14ac:dyDescent="0.3">
      <c r="D56" s="726"/>
      <c r="H56" s="726"/>
      <c r="L56" s="726"/>
      <c r="P56" s="726"/>
      <c r="T56" s="726"/>
      <c r="X56" s="726"/>
      <c r="AB56" s="726"/>
      <c r="AF56" s="726"/>
      <c r="AG56" s="726"/>
      <c r="AK56" s="726"/>
    </row>
    <row r="57" spans="4:37" x14ac:dyDescent="0.3">
      <c r="D57" s="726"/>
      <c r="H57" s="726"/>
      <c r="L57" s="726"/>
      <c r="P57" s="726"/>
      <c r="T57" s="726"/>
      <c r="X57" s="726"/>
      <c r="AB57" s="726"/>
      <c r="AF57" s="726"/>
      <c r="AG57" s="726"/>
      <c r="AK57" s="726"/>
    </row>
    <row r="58" spans="4:37" x14ac:dyDescent="0.3">
      <c r="D58" s="726"/>
      <c r="H58" s="726"/>
      <c r="L58" s="726"/>
      <c r="P58" s="726"/>
      <c r="T58" s="726"/>
      <c r="X58" s="726"/>
      <c r="AB58" s="726"/>
      <c r="AF58" s="726"/>
      <c r="AG58" s="726"/>
      <c r="AK58" s="726"/>
    </row>
    <row r="59" spans="4:37" x14ac:dyDescent="0.3">
      <c r="D59" s="726"/>
      <c r="H59" s="726"/>
      <c r="L59" s="726"/>
      <c r="P59" s="726"/>
      <c r="T59" s="726"/>
      <c r="X59" s="726"/>
      <c r="AB59" s="726"/>
      <c r="AF59" s="726"/>
      <c r="AG59" s="726"/>
      <c r="AK59" s="726"/>
    </row>
    <row r="60" spans="4:37" x14ac:dyDescent="0.3">
      <c r="D60" s="726"/>
      <c r="H60" s="726"/>
      <c r="L60" s="726"/>
      <c r="P60" s="726"/>
      <c r="T60" s="726"/>
      <c r="X60" s="726"/>
      <c r="AB60" s="726"/>
      <c r="AF60" s="726"/>
      <c r="AG60" s="726"/>
      <c r="AK60" s="726"/>
    </row>
    <row r="61" spans="4:37" x14ac:dyDescent="0.3">
      <c r="D61" s="726"/>
      <c r="H61" s="726"/>
      <c r="L61" s="726"/>
      <c r="P61" s="726"/>
      <c r="T61" s="726"/>
      <c r="X61" s="726"/>
      <c r="AB61" s="726"/>
      <c r="AF61" s="726"/>
      <c r="AG61" s="726"/>
      <c r="AK61" s="726"/>
    </row>
    <row r="62" spans="4:37" x14ac:dyDescent="0.3">
      <c r="D62" s="726"/>
      <c r="H62" s="726"/>
      <c r="L62" s="726"/>
      <c r="P62" s="726"/>
      <c r="T62" s="726"/>
      <c r="X62" s="726"/>
      <c r="AB62" s="726"/>
      <c r="AF62" s="726"/>
      <c r="AG62" s="726"/>
      <c r="AK62" s="726"/>
    </row>
    <row r="63" spans="4:37" x14ac:dyDescent="0.3">
      <c r="D63" s="726"/>
      <c r="H63" s="726"/>
      <c r="L63" s="726"/>
      <c r="P63" s="726"/>
      <c r="T63" s="726"/>
      <c r="X63" s="726"/>
      <c r="AB63" s="726"/>
      <c r="AF63" s="726"/>
      <c r="AG63" s="726"/>
      <c r="AK63" s="726"/>
    </row>
    <row r="64" spans="4:37" x14ac:dyDescent="0.3">
      <c r="D64" s="726"/>
      <c r="H64" s="726"/>
      <c r="L64" s="726"/>
      <c r="P64" s="726"/>
      <c r="T64" s="726"/>
      <c r="X64" s="726"/>
      <c r="AB64" s="726"/>
      <c r="AF64" s="726"/>
      <c r="AG64" s="726"/>
      <c r="AK64" s="726"/>
    </row>
    <row r="65" spans="4:37" x14ac:dyDescent="0.3">
      <c r="D65" s="726"/>
      <c r="H65" s="726"/>
      <c r="L65" s="726"/>
      <c r="P65" s="726"/>
      <c r="T65" s="726"/>
      <c r="X65" s="726"/>
      <c r="AB65" s="726"/>
      <c r="AF65" s="726"/>
      <c r="AG65" s="726"/>
      <c r="AK65" s="726"/>
    </row>
    <row r="66" spans="4:37" x14ac:dyDescent="0.3">
      <c r="D66" s="726"/>
      <c r="H66" s="726"/>
      <c r="L66" s="726"/>
      <c r="P66" s="726"/>
      <c r="T66" s="726"/>
      <c r="X66" s="726"/>
      <c r="AB66" s="726"/>
      <c r="AF66" s="726"/>
      <c r="AG66" s="726"/>
      <c r="AK66" s="726"/>
    </row>
    <row r="67" spans="4:37" x14ac:dyDescent="0.3">
      <c r="D67" s="726"/>
      <c r="H67" s="726"/>
      <c r="L67" s="726"/>
      <c r="P67" s="726"/>
      <c r="T67" s="726"/>
      <c r="X67" s="726"/>
      <c r="AB67" s="726"/>
      <c r="AF67" s="726"/>
      <c r="AG67" s="726"/>
      <c r="AK67" s="726"/>
    </row>
    <row r="68" spans="4:37" x14ac:dyDescent="0.3">
      <c r="D68" s="726"/>
      <c r="H68" s="726"/>
      <c r="L68" s="726"/>
      <c r="P68" s="726"/>
      <c r="T68" s="726"/>
      <c r="X68" s="726"/>
      <c r="AB68" s="726"/>
      <c r="AF68" s="726"/>
      <c r="AG68" s="726"/>
      <c r="AK68" s="726"/>
    </row>
    <row r="69" spans="4:37" x14ac:dyDescent="0.3">
      <c r="D69" s="726"/>
      <c r="H69" s="726"/>
      <c r="L69" s="726"/>
      <c r="P69" s="726"/>
      <c r="T69" s="726"/>
      <c r="X69" s="726"/>
      <c r="AB69" s="726"/>
      <c r="AF69" s="726"/>
      <c r="AG69" s="726"/>
      <c r="AK69" s="726"/>
    </row>
    <row r="70" spans="4:37" x14ac:dyDescent="0.3">
      <c r="D70" s="726"/>
      <c r="H70" s="726"/>
      <c r="L70" s="726"/>
      <c r="P70" s="726"/>
      <c r="T70" s="726"/>
      <c r="X70" s="726"/>
      <c r="AB70" s="726"/>
      <c r="AF70" s="726"/>
      <c r="AG70" s="726"/>
      <c r="AK70" s="726"/>
    </row>
    <row r="71" spans="4:37" x14ac:dyDescent="0.3">
      <c r="D71" s="726"/>
      <c r="H71" s="726"/>
      <c r="L71" s="726"/>
      <c r="P71" s="726"/>
      <c r="T71" s="726"/>
      <c r="X71" s="726"/>
      <c r="AB71" s="726"/>
      <c r="AF71" s="726"/>
      <c r="AG71" s="726"/>
      <c r="AK71" s="726"/>
    </row>
    <row r="72" spans="4:37" x14ac:dyDescent="0.3">
      <c r="D72" s="726"/>
      <c r="H72" s="726"/>
      <c r="L72" s="726"/>
      <c r="P72" s="726"/>
      <c r="T72" s="726"/>
      <c r="X72" s="726"/>
      <c r="AB72" s="726"/>
      <c r="AF72" s="726"/>
      <c r="AG72" s="726"/>
      <c r="AK72" s="726"/>
    </row>
    <row r="73" spans="4:37" x14ac:dyDescent="0.3">
      <c r="D73" s="726"/>
      <c r="H73" s="726"/>
      <c r="L73" s="726"/>
      <c r="P73" s="726"/>
      <c r="T73" s="726"/>
      <c r="X73" s="726"/>
      <c r="AB73" s="726"/>
      <c r="AF73" s="726"/>
      <c r="AG73" s="726"/>
      <c r="AK73" s="726"/>
    </row>
    <row r="74" spans="4:37" x14ac:dyDescent="0.3">
      <c r="D74" s="726"/>
      <c r="H74" s="726"/>
      <c r="L74" s="726"/>
      <c r="P74" s="726"/>
      <c r="T74" s="726"/>
      <c r="X74" s="726"/>
      <c r="AB74" s="726"/>
      <c r="AF74" s="726"/>
      <c r="AG74" s="726"/>
      <c r="AK74" s="726"/>
    </row>
    <row r="75" spans="4:37" x14ac:dyDescent="0.3">
      <c r="D75" s="726"/>
      <c r="H75" s="726"/>
      <c r="L75" s="726"/>
      <c r="P75" s="726"/>
      <c r="T75" s="726"/>
      <c r="X75" s="726"/>
      <c r="AB75" s="726"/>
      <c r="AF75" s="726"/>
      <c r="AG75" s="726"/>
      <c r="AK75" s="726"/>
    </row>
    <row r="76" spans="4:37" x14ac:dyDescent="0.3">
      <c r="D76" s="726"/>
      <c r="H76" s="726"/>
      <c r="L76" s="726"/>
      <c r="P76" s="726"/>
      <c r="T76" s="726"/>
      <c r="X76" s="726"/>
      <c r="AB76" s="726"/>
      <c r="AF76" s="726"/>
      <c r="AG76" s="726"/>
      <c r="AK76" s="726"/>
    </row>
    <row r="77" spans="4:37" x14ac:dyDescent="0.3">
      <c r="D77" s="726"/>
      <c r="H77" s="726"/>
      <c r="L77" s="726"/>
      <c r="P77" s="726"/>
      <c r="T77" s="726"/>
      <c r="X77" s="726"/>
      <c r="AB77" s="726"/>
      <c r="AF77" s="726"/>
      <c r="AG77" s="726"/>
      <c r="AK77" s="726"/>
    </row>
    <row r="78" spans="4:37" x14ac:dyDescent="0.3">
      <c r="D78" s="726"/>
      <c r="H78" s="726"/>
      <c r="L78" s="726"/>
      <c r="P78" s="726"/>
      <c r="T78" s="726"/>
      <c r="X78" s="726"/>
      <c r="AB78" s="726"/>
      <c r="AF78" s="726"/>
      <c r="AG78" s="726"/>
      <c r="AK78" s="726"/>
    </row>
    <row r="79" spans="4:37" x14ac:dyDescent="0.3">
      <c r="D79" s="726"/>
      <c r="H79" s="726"/>
      <c r="L79" s="726"/>
      <c r="P79" s="726"/>
      <c r="T79" s="726"/>
      <c r="X79" s="726"/>
      <c r="AB79" s="726"/>
      <c r="AF79" s="726"/>
      <c r="AG79" s="726"/>
      <c r="AK79" s="726"/>
    </row>
    <row r="80" spans="4:37" x14ac:dyDescent="0.3">
      <c r="D80" s="726"/>
      <c r="H80" s="726"/>
      <c r="L80" s="726"/>
      <c r="P80" s="726"/>
      <c r="T80" s="726"/>
      <c r="X80" s="726"/>
      <c r="AB80" s="726"/>
      <c r="AF80" s="726"/>
      <c r="AG80" s="726"/>
      <c r="AK80" s="726"/>
    </row>
    <row r="81" spans="4:37" x14ac:dyDescent="0.3">
      <c r="D81" s="726"/>
      <c r="H81" s="726"/>
      <c r="L81" s="726"/>
      <c r="P81" s="726"/>
      <c r="T81" s="726"/>
      <c r="X81" s="726"/>
      <c r="AB81" s="726"/>
      <c r="AF81" s="726"/>
      <c r="AG81" s="726"/>
      <c r="AK81" s="726"/>
    </row>
    <row r="82" spans="4:37" x14ac:dyDescent="0.3">
      <c r="D82" s="726"/>
      <c r="H82" s="726"/>
      <c r="L82" s="726"/>
      <c r="P82" s="726"/>
      <c r="T82" s="726"/>
      <c r="X82" s="726"/>
      <c r="AB82" s="726"/>
      <c r="AF82" s="726"/>
      <c r="AG82" s="726"/>
      <c r="AK82" s="726"/>
    </row>
    <row r="83" spans="4:37" x14ac:dyDescent="0.3">
      <c r="D83" s="726"/>
      <c r="H83" s="726"/>
      <c r="L83" s="726"/>
      <c r="P83" s="726"/>
      <c r="T83" s="726"/>
      <c r="X83" s="726"/>
      <c r="AB83" s="726"/>
      <c r="AF83" s="726"/>
      <c r="AG83" s="726"/>
      <c r="AK83" s="726"/>
    </row>
    <row r="84" spans="4:37" x14ac:dyDescent="0.3">
      <c r="D84" s="726"/>
      <c r="H84" s="726"/>
      <c r="L84" s="726"/>
      <c r="P84" s="726"/>
      <c r="T84" s="726"/>
      <c r="X84" s="726"/>
      <c r="AB84" s="726"/>
      <c r="AF84" s="726"/>
      <c r="AG84" s="726"/>
      <c r="AK84" s="726"/>
    </row>
    <row r="85" spans="4:37" x14ac:dyDescent="0.3">
      <c r="D85" s="726"/>
      <c r="H85" s="726"/>
      <c r="L85" s="726"/>
      <c r="P85" s="726"/>
      <c r="T85" s="726"/>
      <c r="X85" s="726"/>
      <c r="AB85" s="726"/>
      <c r="AF85" s="726"/>
      <c r="AG85" s="726"/>
      <c r="AK85" s="726"/>
    </row>
    <row r="86" spans="4:37" x14ac:dyDescent="0.3">
      <c r="D86" s="726"/>
      <c r="H86" s="726"/>
      <c r="L86" s="726"/>
      <c r="P86" s="726"/>
      <c r="T86" s="726"/>
      <c r="X86" s="726"/>
      <c r="AB86" s="726"/>
      <c r="AF86" s="726"/>
      <c r="AG86" s="726"/>
      <c r="AK86" s="726"/>
    </row>
    <row r="87" spans="4:37" x14ac:dyDescent="0.3">
      <c r="D87" s="726"/>
      <c r="H87" s="726"/>
      <c r="L87" s="726"/>
      <c r="P87" s="726"/>
      <c r="T87" s="726"/>
      <c r="X87" s="726"/>
      <c r="AB87" s="726"/>
      <c r="AF87" s="726"/>
      <c r="AG87" s="726"/>
      <c r="AK87" s="726"/>
    </row>
    <row r="88" spans="4:37" x14ac:dyDescent="0.3">
      <c r="D88" s="726"/>
      <c r="H88" s="726"/>
      <c r="L88" s="726"/>
      <c r="P88" s="726"/>
      <c r="T88" s="726"/>
      <c r="X88" s="726"/>
      <c r="AB88" s="726"/>
      <c r="AF88" s="726"/>
      <c r="AG88" s="726"/>
      <c r="AK88" s="726"/>
    </row>
    <row r="89" spans="4:37" x14ac:dyDescent="0.3">
      <c r="D89" s="726"/>
      <c r="H89" s="726"/>
      <c r="L89" s="726"/>
      <c r="P89" s="726"/>
      <c r="T89" s="726"/>
      <c r="X89" s="726"/>
      <c r="AB89" s="726"/>
      <c r="AF89" s="726"/>
      <c r="AG89" s="726"/>
      <c r="AK89" s="726"/>
    </row>
    <row r="90" spans="4:37" x14ac:dyDescent="0.3">
      <c r="D90" s="726"/>
      <c r="H90" s="726"/>
      <c r="L90" s="726"/>
      <c r="P90" s="726"/>
      <c r="T90" s="726"/>
      <c r="X90" s="726"/>
      <c r="AB90" s="726"/>
      <c r="AF90" s="726"/>
      <c r="AG90" s="726"/>
      <c r="AK90" s="726"/>
    </row>
    <row r="91" spans="4:37" x14ac:dyDescent="0.3">
      <c r="D91" s="726"/>
      <c r="H91" s="726"/>
      <c r="L91" s="726"/>
      <c r="P91" s="726"/>
      <c r="T91" s="726"/>
      <c r="X91" s="726"/>
      <c r="AB91" s="726"/>
      <c r="AF91" s="726"/>
      <c r="AG91" s="726"/>
      <c r="AK91" s="726"/>
    </row>
    <row r="92" spans="4:37" x14ac:dyDescent="0.3">
      <c r="D92" s="726"/>
      <c r="H92" s="726"/>
      <c r="L92" s="726"/>
      <c r="P92" s="726"/>
      <c r="T92" s="726"/>
      <c r="X92" s="726"/>
      <c r="AB92" s="726"/>
      <c r="AF92" s="726"/>
      <c r="AG92" s="726"/>
      <c r="AK92" s="726"/>
    </row>
    <row r="93" spans="4:37" x14ac:dyDescent="0.3">
      <c r="D93" s="726"/>
      <c r="H93" s="726"/>
      <c r="L93" s="726"/>
      <c r="P93" s="726"/>
      <c r="T93" s="726"/>
      <c r="X93" s="726"/>
      <c r="AB93" s="726"/>
      <c r="AF93" s="726"/>
      <c r="AG93" s="726"/>
      <c r="AK93" s="726"/>
    </row>
    <row r="94" spans="4:37" x14ac:dyDescent="0.3">
      <c r="D94" s="726"/>
      <c r="H94" s="726"/>
      <c r="L94" s="726"/>
      <c r="P94" s="726"/>
      <c r="T94" s="726"/>
      <c r="X94" s="726"/>
      <c r="AB94" s="726"/>
      <c r="AF94" s="726"/>
      <c r="AG94" s="726"/>
      <c r="AK94" s="726"/>
    </row>
    <row r="95" spans="4:37" x14ac:dyDescent="0.3">
      <c r="D95" s="726"/>
      <c r="H95" s="726"/>
      <c r="L95" s="726"/>
      <c r="P95" s="726"/>
      <c r="T95" s="726"/>
      <c r="X95" s="726"/>
      <c r="AB95" s="726"/>
      <c r="AF95" s="726"/>
      <c r="AG95" s="726"/>
      <c r="AK95" s="726"/>
    </row>
    <row r="96" spans="4:37" x14ac:dyDescent="0.3">
      <c r="D96" s="726"/>
      <c r="H96" s="726"/>
      <c r="L96" s="726"/>
      <c r="P96" s="726"/>
      <c r="T96" s="726"/>
      <c r="X96" s="726"/>
      <c r="AB96" s="726"/>
      <c r="AF96" s="726"/>
      <c r="AG96" s="726"/>
      <c r="AK96" s="726"/>
    </row>
    <row r="97" spans="4:37" x14ac:dyDescent="0.3">
      <c r="D97" s="726"/>
      <c r="H97" s="726"/>
      <c r="L97" s="726"/>
      <c r="P97" s="726"/>
      <c r="T97" s="726"/>
      <c r="X97" s="726"/>
      <c r="AB97" s="726"/>
      <c r="AF97" s="726"/>
      <c r="AG97" s="726"/>
      <c r="AK97" s="726"/>
    </row>
    <row r="98" spans="4:37" x14ac:dyDescent="0.3">
      <c r="D98" s="726"/>
      <c r="H98" s="726"/>
      <c r="L98" s="726"/>
      <c r="P98" s="726"/>
      <c r="T98" s="726"/>
      <c r="X98" s="726"/>
      <c r="AB98" s="726"/>
      <c r="AF98" s="726"/>
      <c r="AG98" s="726"/>
      <c r="AK98" s="726"/>
    </row>
    <row r="99" spans="4:37" x14ac:dyDescent="0.3">
      <c r="D99" s="726"/>
      <c r="H99" s="726"/>
      <c r="L99" s="726"/>
      <c r="P99" s="726"/>
      <c r="T99" s="726"/>
      <c r="X99" s="726"/>
      <c r="AB99" s="726"/>
      <c r="AF99" s="726"/>
      <c r="AG99" s="726"/>
      <c r="AK99" s="726"/>
    </row>
    <row r="100" spans="4:37" x14ac:dyDescent="0.3">
      <c r="D100" s="726"/>
      <c r="H100" s="726"/>
      <c r="L100" s="726"/>
      <c r="P100" s="726"/>
      <c r="T100" s="726"/>
      <c r="X100" s="726"/>
      <c r="AB100" s="726"/>
      <c r="AF100" s="726"/>
      <c r="AG100" s="726"/>
      <c r="AK100" s="726"/>
    </row>
    <row r="101" spans="4:37" x14ac:dyDescent="0.3">
      <c r="D101" s="726"/>
      <c r="H101" s="726"/>
      <c r="L101" s="726"/>
      <c r="P101" s="726"/>
      <c r="T101" s="726"/>
      <c r="X101" s="726"/>
      <c r="AB101" s="726"/>
      <c r="AF101" s="726"/>
      <c r="AG101" s="726"/>
      <c r="AK101" s="726"/>
    </row>
    <row r="102" spans="4:37" x14ac:dyDescent="0.3">
      <c r="D102" s="726"/>
      <c r="H102" s="726"/>
      <c r="L102" s="726"/>
      <c r="P102" s="726"/>
      <c r="T102" s="726"/>
      <c r="X102" s="726"/>
      <c r="AB102" s="726"/>
      <c r="AF102" s="726"/>
      <c r="AG102" s="726"/>
      <c r="AK102" s="726"/>
    </row>
    <row r="103" spans="4:37" x14ac:dyDescent="0.3">
      <c r="D103" s="726"/>
      <c r="H103" s="726"/>
      <c r="L103" s="726"/>
      <c r="P103" s="726"/>
      <c r="T103" s="726"/>
      <c r="X103" s="726"/>
      <c r="AB103" s="726"/>
      <c r="AF103" s="726"/>
      <c r="AG103" s="726"/>
      <c r="AK103" s="726"/>
    </row>
    <row r="104" spans="4:37" x14ac:dyDescent="0.3">
      <c r="D104" s="726"/>
      <c r="H104" s="726"/>
      <c r="L104" s="726"/>
      <c r="P104" s="726"/>
      <c r="T104" s="726"/>
      <c r="X104" s="726"/>
      <c r="AB104" s="726"/>
      <c r="AF104" s="726"/>
      <c r="AG104" s="726"/>
      <c r="AK104" s="726"/>
    </row>
    <row r="105" spans="4:37" x14ac:dyDescent="0.3">
      <c r="D105" s="726"/>
      <c r="H105" s="726"/>
      <c r="L105" s="726"/>
      <c r="P105" s="726"/>
      <c r="T105" s="726"/>
      <c r="X105" s="726"/>
      <c r="AB105" s="726"/>
      <c r="AF105" s="726"/>
      <c r="AG105" s="726"/>
      <c r="AK105" s="726"/>
    </row>
    <row r="106" spans="4:37" x14ac:dyDescent="0.3">
      <c r="D106" s="726"/>
      <c r="H106" s="726"/>
      <c r="L106" s="726"/>
      <c r="P106" s="726"/>
      <c r="T106" s="726"/>
      <c r="X106" s="726"/>
      <c r="AB106" s="726"/>
      <c r="AF106" s="726"/>
      <c r="AG106" s="726"/>
      <c r="AK106" s="726"/>
    </row>
    <row r="107" spans="4:37" x14ac:dyDescent="0.3">
      <c r="D107" s="726"/>
      <c r="H107" s="726"/>
      <c r="L107" s="726"/>
      <c r="P107" s="726"/>
      <c r="T107" s="726"/>
      <c r="X107" s="726"/>
      <c r="AB107" s="726"/>
      <c r="AF107" s="726"/>
      <c r="AG107" s="726"/>
      <c r="AK107" s="726"/>
    </row>
    <row r="108" spans="4:37" x14ac:dyDescent="0.3">
      <c r="D108" s="726"/>
      <c r="H108" s="726"/>
      <c r="L108" s="726"/>
      <c r="P108" s="726"/>
      <c r="T108" s="726"/>
      <c r="X108" s="726"/>
      <c r="AB108" s="726"/>
      <c r="AF108" s="726"/>
      <c r="AG108" s="726"/>
      <c r="AK108" s="726"/>
    </row>
    <row r="109" spans="4:37" x14ac:dyDescent="0.3">
      <c r="D109" s="726"/>
      <c r="H109" s="726"/>
      <c r="L109" s="726"/>
      <c r="P109" s="726"/>
      <c r="T109" s="726"/>
      <c r="X109" s="726"/>
      <c r="AB109" s="726"/>
      <c r="AF109" s="726"/>
      <c r="AG109" s="726"/>
      <c r="AK109" s="726"/>
    </row>
    <row r="110" spans="4:37" x14ac:dyDescent="0.3">
      <c r="D110" s="726"/>
      <c r="H110" s="726"/>
      <c r="L110" s="726"/>
      <c r="P110" s="726"/>
      <c r="T110" s="726"/>
      <c r="X110" s="726"/>
      <c r="AB110" s="726"/>
      <c r="AF110" s="726"/>
      <c r="AG110" s="726"/>
      <c r="AK110" s="726"/>
    </row>
    <row r="111" spans="4:37" x14ac:dyDescent="0.3">
      <c r="D111" s="726"/>
      <c r="H111" s="726"/>
      <c r="L111" s="726"/>
      <c r="P111" s="726"/>
      <c r="T111" s="726"/>
      <c r="X111" s="726"/>
      <c r="AB111" s="726"/>
      <c r="AF111" s="726"/>
      <c r="AG111" s="726"/>
      <c r="AK111" s="726"/>
    </row>
    <row r="112" spans="4:37" x14ac:dyDescent="0.3">
      <c r="D112" s="726"/>
      <c r="H112" s="726"/>
      <c r="L112" s="726"/>
      <c r="P112" s="726"/>
      <c r="T112" s="726"/>
      <c r="X112" s="726"/>
      <c r="AB112" s="726"/>
      <c r="AF112" s="726"/>
      <c r="AG112" s="726"/>
      <c r="AK112" s="726"/>
    </row>
    <row r="113" spans="4:37" x14ac:dyDescent="0.3">
      <c r="D113" s="726"/>
      <c r="H113" s="726"/>
      <c r="L113" s="726"/>
      <c r="P113" s="726"/>
      <c r="T113" s="726"/>
      <c r="X113" s="726"/>
      <c r="AB113" s="726"/>
      <c r="AF113" s="726"/>
      <c r="AG113" s="726"/>
      <c r="AK113" s="726"/>
    </row>
    <row r="114" spans="4:37" x14ac:dyDescent="0.3">
      <c r="D114" s="726"/>
      <c r="H114" s="726"/>
      <c r="L114" s="726"/>
      <c r="P114" s="726"/>
      <c r="T114" s="726"/>
      <c r="X114" s="726"/>
      <c r="AB114" s="726"/>
      <c r="AF114" s="726"/>
      <c r="AG114" s="726"/>
      <c r="AK114" s="726"/>
    </row>
    <row r="115" spans="4:37" x14ac:dyDescent="0.3">
      <c r="D115" s="726"/>
      <c r="H115" s="726"/>
      <c r="L115" s="726"/>
      <c r="P115" s="726"/>
      <c r="T115" s="726"/>
      <c r="X115" s="726"/>
      <c r="AB115" s="726"/>
      <c r="AF115" s="726"/>
      <c r="AG115" s="726"/>
      <c r="AK115" s="726"/>
    </row>
    <row r="116" spans="4:37" x14ac:dyDescent="0.3">
      <c r="D116" s="726"/>
      <c r="H116" s="726"/>
      <c r="L116" s="726"/>
      <c r="P116" s="726"/>
      <c r="T116" s="726"/>
      <c r="X116" s="726"/>
      <c r="AB116" s="726"/>
      <c r="AF116" s="726"/>
      <c r="AG116" s="726"/>
      <c r="AK116" s="726"/>
    </row>
    <row r="117" spans="4:37" x14ac:dyDescent="0.3">
      <c r="D117" s="726"/>
      <c r="H117" s="726"/>
      <c r="L117" s="726"/>
      <c r="P117" s="726"/>
      <c r="T117" s="726"/>
      <c r="X117" s="726"/>
      <c r="AB117" s="726"/>
      <c r="AF117" s="726"/>
      <c r="AG117" s="726"/>
      <c r="AK117" s="726"/>
    </row>
    <row r="118" spans="4:37" x14ac:dyDescent="0.3">
      <c r="D118" s="726"/>
      <c r="H118" s="726"/>
      <c r="L118" s="726"/>
      <c r="P118" s="726"/>
      <c r="T118" s="726"/>
      <c r="X118" s="726"/>
      <c r="AB118" s="726"/>
      <c r="AF118" s="726"/>
      <c r="AG118" s="726"/>
      <c r="AK118" s="726"/>
    </row>
    <row r="119" spans="4:37" x14ac:dyDescent="0.3">
      <c r="D119" s="726"/>
      <c r="H119" s="726"/>
      <c r="L119" s="726"/>
      <c r="P119" s="726"/>
      <c r="T119" s="726"/>
      <c r="X119" s="726"/>
      <c r="AB119" s="726"/>
      <c r="AF119" s="726"/>
      <c r="AG119" s="726"/>
      <c r="AK119" s="726"/>
    </row>
    <row r="120" spans="4:37" x14ac:dyDescent="0.3">
      <c r="D120" s="726"/>
      <c r="H120" s="726"/>
      <c r="L120" s="726"/>
      <c r="P120" s="726"/>
      <c r="T120" s="726"/>
      <c r="X120" s="726"/>
      <c r="AB120" s="726"/>
      <c r="AF120" s="726"/>
      <c r="AG120" s="726"/>
      <c r="AK120" s="726"/>
    </row>
    <row r="121" spans="4:37" x14ac:dyDescent="0.3">
      <c r="D121" s="726"/>
      <c r="H121" s="726"/>
      <c r="L121" s="726"/>
      <c r="P121" s="726"/>
      <c r="T121" s="726"/>
      <c r="X121" s="726"/>
      <c r="AB121" s="726"/>
      <c r="AF121" s="726"/>
      <c r="AG121" s="726"/>
      <c r="AK121" s="726"/>
    </row>
    <row r="122" spans="4:37" x14ac:dyDescent="0.3">
      <c r="D122" s="726"/>
      <c r="H122" s="726"/>
      <c r="L122" s="726"/>
      <c r="P122" s="726"/>
      <c r="T122" s="726"/>
      <c r="X122" s="726"/>
      <c r="AB122" s="726"/>
      <c r="AF122" s="726"/>
      <c r="AG122" s="726"/>
      <c r="AK122" s="726"/>
    </row>
    <row r="123" spans="4:37" x14ac:dyDescent="0.3">
      <c r="D123" s="726"/>
      <c r="H123" s="726"/>
      <c r="L123" s="726"/>
      <c r="P123" s="726"/>
      <c r="T123" s="726"/>
      <c r="X123" s="726"/>
      <c r="AB123" s="726"/>
      <c r="AF123" s="726"/>
      <c r="AG123" s="726"/>
      <c r="AK123" s="726"/>
    </row>
    <row r="124" spans="4:37" x14ac:dyDescent="0.3">
      <c r="D124" s="726"/>
      <c r="H124" s="726"/>
      <c r="L124" s="726"/>
      <c r="P124" s="726"/>
      <c r="T124" s="726"/>
      <c r="X124" s="726"/>
      <c r="AB124" s="726"/>
      <c r="AF124" s="726"/>
      <c r="AG124" s="726"/>
      <c r="AK124" s="726"/>
    </row>
    <row r="125" spans="4:37" x14ac:dyDescent="0.3">
      <c r="D125" s="726" t="s">
        <v>1511</v>
      </c>
      <c r="E125" s="698">
        <v>30.35</v>
      </c>
      <c r="F125" s="698">
        <v>25</v>
      </c>
      <c r="H125" s="726"/>
      <c r="L125" s="726"/>
      <c r="P125" s="726"/>
      <c r="T125" s="726"/>
      <c r="X125" s="726"/>
      <c r="AB125" s="726"/>
      <c r="AF125" s="726"/>
      <c r="AG125" s="726"/>
      <c r="AK125" s="726"/>
    </row>
    <row r="126" spans="4:37" x14ac:dyDescent="0.3">
      <c r="D126" s="726"/>
      <c r="H126" s="726"/>
      <c r="L126" s="726"/>
      <c r="P126" s="726"/>
      <c r="T126" s="726"/>
      <c r="X126" s="726"/>
      <c r="AB126" s="726"/>
      <c r="AF126" s="726"/>
      <c r="AG126" s="726"/>
      <c r="AK126" s="726"/>
    </row>
    <row r="127" spans="4:37" x14ac:dyDescent="0.3">
      <c r="D127" s="726"/>
      <c r="H127" s="726"/>
      <c r="L127" s="726"/>
      <c r="P127" s="726"/>
      <c r="T127" s="726"/>
      <c r="X127" s="726"/>
      <c r="AB127" s="726"/>
      <c r="AF127" s="726"/>
      <c r="AG127" s="726"/>
      <c r="AK127" s="726"/>
    </row>
    <row r="128" spans="4:37" x14ac:dyDescent="0.3">
      <c r="D128" s="726"/>
      <c r="H128" s="726"/>
      <c r="L128" s="726"/>
      <c r="P128" s="726"/>
      <c r="T128" s="726"/>
      <c r="X128" s="726"/>
      <c r="AB128" s="726"/>
      <c r="AF128" s="726"/>
      <c r="AG128" s="726"/>
      <c r="AK128" s="726"/>
    </row>
    <row r="129" spans="4:37" x14ac:dyDescent="0.3">
      <c r="D129" s="726"/>
      <c r="H129" s="726"/>
      <c r="L129" s="726"/>
      <c r="P129" s="726"/>
      <c r="T129" s="726"/>
      <c r="X129" s="726"/>
      <c r="AB129" s="726"/>
      <c r="AF129" s="726"/>
      <c r="AG129" s="726"/>
      <c r="AK129" s="726"/>
    </row>
    <row r="130" spans="4:37" x14ac:dyDescent="0.3">
      <c r="D130" s="726"/>
      <c r="H130" s="726"/>
      <c r="L130" s="726"/>
      <c r="P130" s="726"/>
      <c r="T130" s="726"/>
      <c r="X130" s="726"/>
      <c r="AB130" s="726"/>
      <c r="AF130" s="726"/>
      <c r="AG130" s="726"/>
      <c r="AK130" s="726"/>
    </row>
    <row r="131" spans="4:37" x14ac:dyDescent="0.3">
      <c r="D131" s="726"/>
      <c r="H131" s="726"/>
      <c r="L131" s="726"/>
      <c r="P131" s="726"/>
      <c r="T131" s="726"/>
      <c r="X131" s="726"/>
      <c r="AB131" s="726"/>
      <c r="AF131" s="726"/>
      <c r="AG131" s="726"/>
      <c r="AK131" s="726"/>
    </row>
    <row r="132" spans="4:37" x14ac:dyDescent="0.3">
      <c r="D132" s="726"/>
      <c r="H132" s="726"/>
      <c r="L132" s="726"/>
      <c r="P132" s="726"/>
      <c r="T132" s="726"/>
      <c r="X132" s="726"/>
      <c r="AB132" s="726"/>
      <c r="AF132" s="726"/>
      <c r="AG132" s="726"/>
      <c r="AK132" s="726"/>
    </row>
    <row r="133" spans="4:37" x14ac:dyDescent="0.3">
      <c r="D133" s="726"/>
      <c r="H133" s="726"/>
      <c r="L133" s="726"/>
      <c r="P133" s="726"/>
      <c r="T133" s="726"/>
      <c r="X133" s="726"/>
      <c r="AB133" s="726"/>
      <c r="AF133" s="726"/>
      <c r="AG133" s="726"/>
      <c r="AK133" s="726"/>
    </row>
    <row r="134" spans="4:37" x14ac:dyDescent="0.3">
      <c r="D134" s="726"/>
      <c r="H134" s="726"/>
      <c r="L134" s="726"/>
      <c r="P134" s="726"/>
      <c r="T134" s="726"/>
      <c r="X134" s="726"/>
      <c r="AB134" s="726"/>
      <c r="AF134" s="726"/>
      <c r="AG134" s="726"/>
      <c r="AK134" s="726"/>
    </row>
    <row r="135" spans="4:37" x14ac:dyDescent="0.3">
      <c r="D135" s="726"/>
      <c r="H135" s="726"/>
      <c r="L135" s="726"/>
      <c r="P135" s="726"/>
      <c r="T135" s="726"/>
      <c r="X135" s="726"/>
      <c r="AB135" s="726"/>
      <c r="AF135" s="726"/>
      <c r="AG135" s="726"/>
      <c r="AK135" s="726"/>
    </row>
    <row r="136" spans="4:37" x14ac:dyDescent="0.3">
      <c r="D136" s="726"/>
      <c r="H136" s="726"/>
      <c r="L136" s="726"/>
      <c r="P136" s="726"/>
      <c r="T136" s="726"/>
      <c r="X136" s="726"/>
      <c r="AB136" s="726"/>
      <c r="AF136" s="726"/>
      <c r="AG136" s="726"/>
      <c r="AK136" s="726"/>
    </row>
    <row r="137" spans="4:37" x14ac:dyDescent="0.3">
      <c r="D137" s="726"/>
      <c r="H137" s="726"/>
      <c r="L137" s="726"/>
      <c r="P137" s="726"/>
      <c r="T137" s="726"/>
      <c r="X137" s="726"/>
      <c r="AB137" s="726"/>
      <c r="AF137" s="726"/>
      <c r="AG137" s="726"/>
      <c r="AK137" s="726"/>
    </row>
    <row r="138" spans="4:37" x14ac:dyDescent="0.3">
      <c r="D138" s="726"/>
      <c r="H138" s="726"/>
      <c r="L138" s="726"/>
      <c r="P138" s="726"/>
      <c r="T138" s="726"/>
      <c r="X138" s="726"/>
      <c r="AB138" s="726"/>
      <c r="AF138" s="726"/>
      <c r="AG138" s="726"/>
      <c r="AK138" s="726"/>
    </row>
    <row r="139" spans="4:37" x14ac:dyDescent="0.3">
      <c r="D139" s="726"/>
      <c r="H139" s="726"/>
      <c r="L139" s="726"/>
      <c r="P139" s="726"/>
      <c r="T139" s="726"/>
      <c r="X139" s="726"/>
      <c r="AB139" s="726"/>
      <c r="AF139" s="726"/>
      <c r="AG139" s="726"/>
      <c r="AK139" s="726"/>
    </row>
    <row r="140" spans="4:37" x14ac:dyDescent="0.3">
      <c r="D140" s="726"/>
      <c r="H140" s="726"/>
      <c r="L140" s="726"/>
      <c r="P140" s="726"/>
      <c r="T140" s="726"/>
      <c r="X140" s="726"/>
      <c r="AB140" s="726"/>
      <c r="AF140" s="726"/>
      <c r="AG140" s="726"/>
      <c r="AK140" s="726"/>
    </row>
    <row r="141" spans="4:37" x14ac:dyDescent="0.3">
      <c r="D141" s="726"/>
      <c r="H141" s="726"/>
      <c r="L141" s="726"/>
      <c r="P141" s="726"/>
      <c r="T141" s="726"/>
      <c r="X141" s="726"/>
      <c r="AB141" s="726"/>
      <c r="AF141" s="726"/>
      <c r="AG141" s="726"/>
      <c r="AK141" s="726"/>
    </row>
    <row r="142" spans="4:37" x14ac:dyDescent="0.3">
      <c r="D142" s="726"/>
      <c r="H142" s="726"/>
      <c r="L142" s="726"/>
      <c r="P142" s="726"/>
      <c r="T142" s="726"/>
      <c r="X142" s="726"/>
      <c r="AB142" s="726"/>
      <c r="AF142" s="726"/>
      <c r="AG142" s="726"/>
      <c r="AK142" s="726"/>
    </row>
    <row r="143" spans="4:37" x14ac:dyDescent="0.3">
      <c r="D143" s="726"/>
      <c r="H143" s="726"/>
      <c r="L143" s="726"/>
      <c r="P143" s="726"/>
      <c r="T143" s="726"/>
      <c r="X143" s="726"/>
      <c r="AB143" s="726"/>
      <c r="AF143" s="726"/>
      <c r="AG143" s="726"/>
      <c r="AK143" s="726"/>
    </row>
    <row r="144" spans="4:37" x14ac:dyDescent="0.3">
      <c r="D144" s="726"/>
      <c r="H144" s="726"/>
      <c r="L144" s="726"/>
      <c r="P144" s="726"/>
      <c r="T144" s="726"/>
      <c r="X144" s="726"/>
      <c r="AB144" s="726"/>
      <c r="AF144" s="726"/>
      <c r="AG144" s="726"/>
      <c r="AK144" s="726"/>
    </row>
    <row r="145" spans="4:37" x14ac:dyDescent="0.3">
      <c r="D145" s="726"/>
      <c r="H145" s="726"/>
      <c r="L145" s="726"/>
      <c r="P145" s="726"/>
      <c r="T145" s="726"/>
      <c r="X145" s="726"/>
      <c r="AB145" s="726"/>
      <c r="AF145" s="726"/>
      <c r="AG145" s="726"/>
      <c r="AK145" s="726"/>
    </row>
    <row r="146" spans="4:37" x14ac:dyDescent="0.3">
      <c r="D146" s="726"/>
      <c r="H146" s="726"/>
      <c r="L146" s="726"/>
      <c r="P146" s="726"/>
      <c r="T146" s="726"/>
      <c r="X146" s="726"/>
      <c r="AB146" s="726"/>
      <c r="AF146" s="726"/>
      <c r="AG146" s="726"/>
      <c r="AK146" s="726"/>
    </row>
    <row r="147" spans="4:37" x14ac:dyDescent="0.3">
      <c r="D147" s="726"/>
      <c r="H147" s="726"/>
      <c r="L147" s="726"/>
      <c r="P147" s="726"/>
      <c r="T147" s="726"/>
      <c r="X147" s="726"/>
      <c r="AB147" s="726"/>
      <c r="AF147" s="726"/>
      <c r="AG147" s="726"/>
      <c r="AK147" s="726"/>
    </row>
    <row r="148" spans="4:37" x14ac:dyDescent="0.3">
      <c r="D148" s="726"/>
      <c r="H148" s="726"/>
      <c r="L148" s="726"/>
      <c r="P148" s="726"/>
      <c r="T148" s="726"/>
      <c r="X148" s="726"/>
      <c r="AB148" s="726"/>
      <c r="AF148" s="726"/>
      <c r="AG148" s="726"/>
      <c r="AK148" s="726"/>
    </row>
    <row r="149" spans="4:37" x14ac:dyDescent="0.3">
      <c r="D149" s="726"/>
      <c r="H149" s="726"/>
      <c r="L149" s="726"/>
      <c r="P149" s="726"/>
      <c r="T149" s="726"/>
      <c r="X149" s="726"/>
      <c r="AB149" s="726"/>
      <c r="AF149" s="726"/>
      <c r="AG149" s="726"/>
      <c r="AK149" s="726"/>
    </row>
    <row r="150" spans="4:37" x14ac:dyDescent="0.3">
      <c r="D150" s="726"/>
      <c r="H150" s="726"/>
      <c r="L150" s="726"/>
      <c r="P150" s="726"/>
      <c r="T150" s="726"/>
      <c r="X150" s="726"/>
      <c r="AB150" s="726"/>
      <c r="AF150" s="726"/>
      <c r="AG150" s="726"/>
      <c r="AK150" s="726"/>
    </row>
    <row r="151" spans="4:37" x14ac:dyDescent="0.3">
      <c r="D151" s="726"/>
      <c r="H151" s="726"/>
      <c r="L151" s="726"/>
      <c r="P151" s="726"/>
      <c r="T151" s="726"/>
      <c r="X151" s="726"/>
      <c r="AB151" s="726"/>
      <c r="AF151" s="726"/>
      <c r="AG151" s="726"/>
      <c r="AK151" s="726"/>
    </row>
    <row r="152" spans="4:37" x14ac:dyDescent="0.3">
      <c r="D152" s="726"/>
      <c r="H152" s="726"/>
      <c r="L152" s="726"/>
      <c r="P152" s="726"/>
      <c r="T152" s="726"/>
      <c r="X152" s="726"/>
      <c r="AB152" s="726"/>
      <c r="AF152" s="726"/>
      <c r="AG152" s="726"/>
      <c r="AK152" s="726"/>
    </row>
    <row r="153" spans="4:37" x14ac:dyDescent="0.3">
      <c r="D153" s="726"/>
      <c r="H153" s="726"/>
      <c r="L153" s="726"/>
      <c r="P153" s="726"/>
      <c r="T153" s="726"/>
      <c r="X153" s="726"/>
      <c r="AB153" s="726"/>
      <c r="AF153" s="726"/>
      <c r="AG153" s="726"/>
      <c r="AK153" s="726"/>
    </row>
    <row r="154" spans="4:37" x14ac:dyDescent="0.3">
      <c r="D154" s="726"/>
      <c r="H154" s="726"/>
      <c r="L154" s="726"/>
      <c r="P154" s="726"/>
      <c r="T154" s="726"/>
      <c r="X154" s="726"/>
      <c r="AB154" s="726"/>
      <c r="AF154" s="726"/>
      <c r="AG154" s="726"/>
      <c r="AK154" s="726"/>
    </row>
    <row r="155" spans="4:37" x14ac:dyDescent="0.3">
      <c r="D155" s="726"/>
      <c r="H155" s="726"/>
      <c r="L155" s="726"/>
      <c r="P155" s="726"/>
      <c r="T155" s="726"/>
      <c r="X155" s="726"/>
      <c r="AB155" s="726"/>
      <c r="AF155" s="726"/>
      <c r="AG155" s="726"/>
      <c r="AK155" s="726"/>
    </row>
    <row r="156" spans="4:37" x14ac:dyDescent="0.3">
      <c r="D156" s="726"/>
      <c r="H156" s="726"/>
      <c r="L156" s="726"/>
      <c r="P156" s="726"/>
      <c r="T156" s="726"/>
      <c r="X156" s="726"/>
      <c r="AB156" s="726"/>
      <c r="AF156" s="726"/>
      <c r="AG156" s="726"/>
      <c r="AK156" s="726"/>
    </row>
    <row r="157" spans="4:37" x14ac:dyDescent="0.3">
      <c r="D157" s="726"/>
      <c r="H157" s="726"/>
      <c r="L157" s="726"/>
      <c r="P157" s="726"/>
      <c r="T157" s="726"/>
      <c r="X157" s="726"/>
      <c r="AB157" s="726"/>
      <c r="AF157" s="726"/>
      <c r="AG157" s="726"/>
      <c r="AK157" s="726"/>
    </row>
    <row r="158" spans="4:37" x14ac:dyDescent="0.3">
      <c r="D158" s="726"/>
      <c r="H158" s="726"/>
      <c r="L158" s="726"/>
      <c r="P158" s="726"/>
      <c r="T158" s="726"/>
      <c r="X158" s="726"/>
      <c r="AB158" s="726"/>
      <c r="AF158" s="726"/>
      <c r="AG158" s="726"/>
      <c r="AK158" s="726"/>
    </row>
    <row r="159" spans="4:37" x14ac:dyDescent="0.3">
      <c r="D159" s="726"/>
      <c r="H159" s="726"/>
      <c r="L159" s="726"/>
      <c r="P159" s="726"/>
      <c r="T159" s="726"/>
      <c r="X159" s="726"/>
      <c r="AB159" s="726"/>
      <c r="AF159" s="726"/>
      <c r="AG159" s="726"/>
      <c r="AK159" s="726"/>
    </row>
    <row r="160" spans="4:37" x14ac:dyDescent="0.3">
      <c r="D160" s="726"/>
      <c r="H160" s="726"/>
      <c r="L160" s="726"/>
      <c r="P160" s="726"/>
      <c r="T160" s="726"/>
      <c r="X160" s="726"/>
      <c r="AB160" s="726"/>
      <c r="AF160" s="726"/>
      <c r="AG160" s="726"/>
      <c r="AK160" s="726"/>
    </row>
    <row r="161" spans="4:37" x14ac:dyDescent="0.3">
      <c r="D161" s="726"/>
      <c r="H161" s="726"/>
      <c r="L161" s="726"/>
      <c r="P161" s="726"/>
      <c r="T161" s="726"/>
      <c r="X161" s="726"/>
      <c r="AB161" s="726"/>
      <c r="AF161" s="726"/>
      <c r="AG161" s="726"/>
      <c r="AK161" s="726"/>
    </row>
    <row r="162" spans="4:37" x14ac:dyDescent="0.3">
      <c r="D162" s="726"/>
      <c r="H162" s="726"/>
      <c r="L162" s="726"/>
      <c r="P162" s="726"/>
      <c r="T162" s="726"/>
      <c r="X162" s="726"/>
      <c r="AB162" s="726"/>
      <c r="AF162" s="726"/>
      <c r="AG162" s="726"/>
      <c r="AK162" s="726"/>
    </row>
    <row r="163" spans="4:37" x14ac:dyDescent="0.3">
      <c r="D163" s="726"/>
      <c r="H163" s="726"/>
      <c r="L163" s="726"/>
      <c r="P163" s="726"/>
      <c r="T163" s="726"/>
      <c r="X163" s="726"/>
      <c r="AB163" s="726"/>
      <c r="AF163" s="726"/>
      <c r="AG163" s="726"/>
      <c r="AK163" s="726"/>
    </row>
    <row r="164" spans="4:37" x14ac:dyDescent="0.3">
      <c r="D164" s="726"/>
      <c r="H164" s="726"/>
      <c r="L164" s="726"/>
      <c r="P164" s="726"/>
      <c r="T164" s="726"/>
      <c r="X164" s="726"/>
      <c r="AB164" s="726"/>
      <c r="AF164" s="726"/>
      <c r="AG164" s="726"/>
      <c r="AK164" s="726"/>
    </row>
    <row r="165" spans="4:37" x14ac:dyDescent="0.3">
      <c r="D165" s="726"/>
      <c r="H165" s="726"/>
      <c r="L165" s="726"/>
      <c r="P165" s="726"/>
      <c r="T165" s="726"/>
      <c r="X165" s="726"/>
      <c r="AB165" s="726"/>
      <c r="AF165" s="726"/>
      <c r="AG165" s="726"/>
      <c r="AK165" s="726"/>
    </row>
    <row r="166" spans="4:37" x14ac:dyDescent="0.3">
      <c r="D166" s="726"/>
      <c r="H166" s="726"/>
      <c r="L166" s="726"/>
      <c r="P166" s="726"/>
      <c r="T166" s="726"/>
      <c r="X166" s="726"/>
      <c r="AB166" s="726"/>
      <c r="AF166" s="726"/>
      <c r="AG166" s="726"/>
      <c r="AK166" s="726"/>
    </row>
    <row r="167" spans="4:37" x14ac:dyDescent="0.3">
      <c r="D167" s="726"/>
      <c r="H167" s="726"/>
      <c r="L167" s="726"/>
      <c r="P167" s="726"/>
      <c r="T167" s="726"/>
      <c r="X167" s="726"/>
      <c r="AB167" s="726"/>
      <c r="AF167" s="726"/>
      <c r="AG167" s="726"/>
      <c r="AK167" s="726"/>
    </row>
    <row r="168" spans="4:37" x14ac:dyDescent="0.3">
      <c r="D168" s="726"/>
      <c r="H168" s="726"/>
      <c r="L168" s="726"/>
      <c r="P168" s="726"/>
      <c r="T168" s="726"/>
      <c r="X168" s="726"/>
      <c r="AB168" s="726"/>
      <c r="AF168" s="726"/>
      <c r="AG168" s="726"/>
      <c r="AK168" s="726"/>
    </row>
    <row r="169" spans="4:37" x14ac:dyDescent="0.3">
      <c r="D169" s="726"/>
      <c r="H169" s="726"/>
      <c r="L169" s="726"/>
      <c r="P169" s="726"/>
      <c r="T169" s="726"/>
      <c r="X169" s="726"/>
      <c r="AB169" s="726"/>
      <c r="AF169" s="726"/>
      <c r="AG169" s="726"/>
      <c r="AK169" s="726"/>
    </row>
    <row r="170" spans="4:37" x14ac:dyDescent="0.3">
      <c r="D170" s="726"/>
      <c r="H170" s="726"/>
      <c r="L170" s="726"/>
      <c r="P170" s="726"/>
      <c r="T170" s="726"/>
      <c r="X170" s="726"/>
      <c r="AB170" s="726"/>
      <c r="AF170" s="726"/>
      <c r="AG170" s="726"/>
      <c r="AK170" s="726"/>
    </row>
    <row r="171" spans="4:37" x14ac:dyDescent="0.3">
      <c r="D171" s="726"/>
      <c r="H171" s="726"/>
      <c r="L171" s="726"/>
      <c r="P171" s="726"/>
      <c r="T171" s="726"/>
      <c r="X171" s="726"/>
      <c r="AB171" s="726"/>
      <c r="AF171" s="726"/>
      <c r="AG171" s="726"/>
      <c r="AK171" s="726"/>
    </row>
    <row r="172" spans="4:37" x14ac:dyDescent="0.3">
      <c r="D172" s="726"/>
      <c r="H172" s="726"/>
      <c r="L172" s="726"/>
      <c r="P172" s="726"/>
      <c r="T172" s="726"/>
      <c r="X172" s="726"/>
      <c r="AB172" s="726"/>
      <c r="AF172" s="726"/>
      <c r="AG172" s="726"/>
      <c r="AK172" s="726"/>
    </row>
    <row r="173" spans="4:37" x14ac:dyDescent="0.3">
      <c r="D173" s="726"/>
      <c r="H173" s="726"/>
      <c r="L173" s="726"/>
      <c r="P173" s="726"/>
      <c r="T173" s="726"/>
      <c r="X173" s="726"/>
      <c r="AB173" s="726"/>
      <c r="AF173" s="726"/>
      <c r="AG173" s="726"/>
      <c r="AK173" s="726"/>
    </row>
    <row r="174" spans="4:37" x14ac:dyDescent="0.3">
      <c r="D174" s="726"/>
      <c r="H174" s="726"/>
      <c r="L174" s="726"/>
      <c r="P174" s="726"/>
      <c r="T174" s="726"/>
      <c r="X174" s="726"/>
      <c r="AB174" s="726"/>
      <c r="AF174" s="726"/>
      <c r="AG174" s="726"/>
      <c r="AK174" s="726"/>
    </row>
    <row r="175" spans="4:37" x14ac:dyDescent="0.3">
      <c r="D175" s="726"/>
      <c r="H175" s="726"/>
      <c r="L175" s="726"/>
      <c r="P175" s="726"/>
      <c r="T175" s="726"/>
      <c r="X175" s="726"/>
      <c r="AB175" s="726"/>
      <c r="AF175" s="726"/>
      <c r="AG175" s="726"/>
      <c r="AK175" s="726"/>
    </row>
    <row r="176" spans="4:37" x14ac:dyDescent="0.3">
      <c r="D176" s="726"/>
      <c r="H176" s="726"/>
      <c r="L176" s="726"/>
      <c r="P176" s="726"/>
      <c r="T176" s="726"/>
      <c r="X176" s="726"/>
      <c r="AB176" s="726"/>
      <c r="AF176" s="726"/>
      <c r="AG176" s="726"/>
      <c r="AK176" s="726"/>
    </row>
    <row r="177" spans="4:37" x14ac:dyDescent="0.3">
      <c r="D177" s="726"/>
      <c r="H177" s="726"/>
      <c r="L177" s="726"/>
      <c r="P177" s="726"/>
      <c r="T177" s="726"/>
      <c r="X177" s="726"/>
      <c r="AB177" s="726"/>
      <c r="AF177" s="726"/>
      <c r="AG177" s="726"/>
      <c r="AK177" s="726"/>
    </row>
    <row r="178" spans="4:37" x14ac:dyDescent="0.3">
      <c r="D178" s="726"/>
      <c r="H178" s="726"/>
      <c r="L178" s="726"/>
      <c r="P178" s="726"/>
      <c r="T178" s="726"/>
      <c r="X178" s="726"/>
      <c r="AB178" s="726"/>
      <c r="AF178" s="726"/>
      <c r="AG178" s="726"/>
      <c r="AK178" s="726"/>
    </row>
    <row r="179" spans="4:37" x14ac:dyDescent="0.3">
      <c r="D179" s="726"/>
      <c r="H179" s="726"/>
      <c r="L179" s="726"/>
      <c r="P179" s="726"/>
      <c r="T179" s="726"/>
      <c r="X179" s="726"/>
      <c r="AB179" s="726"/>
      <c r="AF179" s="726"/>
      <c r="AG179" s="726"/>
      <c r="AK179" s="726"/>
    </row>
    <row r="180" spans="4:37" x14ac:dyDescent="0.3">
      <c r="D180" s="726"/>
      <c r="H180" s="726"/>
      <c r="L180" s="726"/>
      <c r="P180" s="726"/>
      <c r="T180" s="726"/>
      <c r="X180" s="726"/>
      <c r="AB180" s="726"/>
      <c r="AF180" s="726"/>
      <c r="AG180" s="726"/>
      <c r="AK180" s="726"/>
    </row>
    <row r="181" spans="4:37" x14ac:dyDescent="0.3">
      <c r="D181" s="726"/>
      <c r="H181" s="726"/>
      <c r="L181" s="726"/>
      <c r="P181" s="726"/>
      <c r="T181" s="726"/>
      <c r="X181" s="726"/>
      <c r="AB181" s="726"/>
      <c r="AF181" s="726"/>
      <c r="AG181" s="726"/>
      <c r="AK181" s="726"/>
    </row>
    <row r="182" spans="4:37" x14ac:dyDescent="0.3">
      <c r="D182" s="726"/>
      <c r="H182" s="726"/>
      <c r="L182" s="726"/>
      <c r="P182" s="726"/>
      <c r="T182" s="726"/>
      <c r="X182" s="726"/>
      <c r="AB182" s="726"/>
      <c r="AF182" s="726"/>
      <c r="AG182" s="726"/>
      <c r="AK182" s="726"/>
    </row>
    <row r="183" spans="4:37" x14ac:dyDescent="0.3">
      <c r="D183" s="726"/>
      <c r="H183" s="726"/>
      <c r="L183" s="726"/>
      <c r="P183" s="726"/>
      <c r="T183" s="726"/>
      <c r="X183" s="726"/>
      <c r="AB183" s="726"/>
      <c r="AF183" s="726"/>
      <c r="AG183" s="726"/>
      <c r="AK183" s="726"/>
    </row>
    <row r="184" spans="4:37" x14ac:dyDescent="0.3">
      <c r="D184" s="726"/>
      <c r="H184" s="726"/>
      <c r="L184" s="726"/>
      <c r="P184" s="726"/>
      <c r="T184" s="726"/>
      <c r="X184" s="726"/>
      <c r="AB184" s="726"/>
      <c r="AF184" s="726"/>
      <c r="AG184" s="726"/>
      <c r="AK184" s="726"/>
    </row>
    <row r="185" spans="4:37" x14ac:dyDescent="0.3">
      <c r="D185" s="726"/>
      <c r="H185" s="726"/>
      <c r="L185" s="726"/>
      <c r="P185" s="726"/>
      <c r="T185" s="726"/>
      <c r="X185" s="726"/>
      <c r="AB185" s="726"/>
      <c r="AF185" s="726"/>
      <c r="AG185" s="726"/>
      <c r="AK185" s="726"/>
    </row>
    <row r="186" spans="4:37" x14ac:dyDescent="0.3">
      <c r="D186" s="726"/>
      <c r="H186" s="726"/>
      <c r="L186" s="726"/>
      <c r="P186" s="726"/>
      <c r="T186" s="726"/>
      <c r="X186" s="726"/>
      <c r="AB186" s="726"/>
      <c r="AF186" s="726"/>
      <c r="AG186" s="726"/>
      <c r="AK186" s="726"/>
    </row>
    <row r="187" spans="4:37" x14ac:dyDescent="0.3">
      <c r="D187" s="726"/>
      <c r="H187" s="726"/>
      <c r="L187" s="726"/>
      <c r="P187" s="726"/>
      <c r="T187" s="726"/>
      <c r="X187" s="726"/>
      <c r="AB187" s="726"/>
      <c r="AF187" s="726"/>
      <c r="AG187" s="726"/>
      <c r="AK187" s="726"/>
    </row>
    <row r="188" spans="4:37" x14ac:dyDescent="0.3">
      <c r="D188" s="726"/>
      <c r="H188" s="726"/>
      <c r="L188" s="726"/>
      <c r="P188" s="726"/>
      <c r="T188" s="726"/>
      <c r="X188" s="726"/>
      <c r="AB188" s="726"/>
      <c r="AF188" s="726"/>
      <c r="AG188" s="726"/>
      <c r="AK188" s="726"/>
    </row>
    <row r="189" spans="4:37" x14ac:dyDescent="0.3">
      <c r="D189" s="726"/>
      <c r="H189" s="726"/>
      <c r="L189" s="726"/>
      <c r="P189" s="726"/>
      <c r="T189" s="726"/>
      <c r="X189" s="726"/>
      <c r="AB189" s="726"/>
      <c r="AF189" s="726"/>
      <c r="AG189" s="726"/>
      <c r="AK189" s="726"/>
    </row>
    <row r="190" spans="4:37" x14ac:dyDescent="0.3">
      <c r="D190" s="726"/>
      <c r="H190" s="726"/>
      <c r="L190" s="726"/>
      <c r="P190" s="726"/>
      <c r="T190" s="726"/>
      <c r="X190" s="726"/>
      <c r="AB190" s="726"/>
      <c r="AF190" s="726"/>
      <c r="AG190" s="726"/>
      <c r="AK190" s="726"/>
    </row>
    <row r="191" spans="4:37" x14ac:dyDescent="0.3">
      <c r="D191" s="726"/>
      <c r="H191" s="726"/>
      <c r="L191" s="726"/>
      <c r="P191" s="726"/>
      <c r="T191" s="726"/>
      <c r="X191" s="726"/>
      <c r="AB191" s="726"/>
      <c r="AF191" s="726"/>
      <c r="AG191" s="726"/>
      <c r="AK191" s="726"/>
    </row>
    <row r="192" spans="4:37" x14ac:dyDescent="0.3">
      <c r="D192" s="726"/>
      <c r="H192" s="726"/>
      <c r="L192" s="726"/>
      <c r="P192" s="726"/>
      <c r="T192" s="726"/>
      <c r="X192" s="726"/>
      <c r="AB192" s="726"/>
      <c r="AF192" s="726"/>
      <c r="AG192" s="726"/>
      <c r="AK192" s="726"/>
    </row>
    <row r="193" spans="4:37" x14ac:dyDescent="0.3">
      <c r="D193" s="726"/>
      <c r="H193" s="726"/>
      <c r="L193" s="726"/>
      <c r="P193" s="726"/>
      <c r="T193" s="726"/>
      <c r="X193" s="726"/>
      <c r="AB193" s="726"/>
      <c r="AF193" s="726"/>
      <c r="AG193" s="726"/>
      <c r="AK193" s="726"/>
    </row>
    <row r="194" spans="4:37" x14ac:dyDescent="0.3">
      <c r="D194" s="726"/>
      <c r="H194" s="726"/>
      <c r="L194" s="726"/>
      <c r="P194" s="726"/>
      <c r="T194" s="726"/>
      <c r="X194" s="726"/>
      <c r="AB194" s="726"/>
      <c r="AF194" s="726"/>
      <c r="AG194" s="726"/>
      <c r="AK194" s="726"/>
    </row>
    <row r="195" spans="4:37" x14ac:dyDescent="0.3">
      <c r="D195" s="726"/>
      <c r="H195" s="726"/>
      <c r="L195" s="726"/>
      <c r="P195" s="726"/>
      <c r="T195" s="726"/>
      <c r="X195" s="726"/>
      <c r="AB195" s="726"/>
      <c r="AF195" s="726"/>
      <c r="AG195" s="726"/>
      <c r="AK195" s="726"/>
    </row>
    <row r="196" spans="4:37" x14ac:dyDescent="0.3">
      <c r="D196" s="726"/>
      <c r="H196" s="726"/>
      <c r="L196" s="726"/>
      <c r="P196" s="726"/>
      <c r="T196" s="726"/>
      <c r="X196" s="726"/>
      <c r="AB196" s="726"/>
      <c r="AF196" s="726"/>
      <c r="AG196" s="726"/>
      <c r="AK196" s="726"/>
    </row>
    <row r="197" spans="4:37" x14ac:dyDescent="0.3">
      <c r="D197" s="726"/>
      <c r="H197" s="726"/>
      <c r="L197" s="726"/>
      <c r="P197" s="726"/>
      <c r="T197" s="726"/>
      <c r="X197" s="726"/>
      <c r="AB197" s="726"/>
      <c r="AF197" s="726"/>
      <c r="AG197" s="726"/>
      <c r="AK197" s="726"/>
    </row>
    <row r="198" spans="4:37" x14ac:dyDescent="0.3">
      <c r="D198" s="726"/>
      <c r="H198" s="726"/>
      <c r="L198" s="726"/>
      <c r="P198" s="726"/>
      <c r="T198" s="726"/>
      <c r="X198" s="726"/>
      <c r="AB198" s="726"/>
      <c r="AF198" s="726"/>
      <c r="AG198" s="726"/>
      <c r="AK198" s="726"/>
    </row>
    <row r="199" spans="4:37" x14ac:dyDescent="0.3">
      <c r="D199" s="726"/>
      <c r="H199" s="726"/>
      <c r="L199" s="726"/>
      <c r="P199" s="726"/>
      <c r="T199" s="726"/>
      <c r="X199" s="726"/>
      <c r="AB199" s="726"/>
      <c r="AF199" s="726"/>
      <c r="AG199" s="726"/>
      <c r="AK199" s="726"/>
    </row>
    <row r="200" spans="4:37" x14ac:dyDescent="0.3">
      <c r="D200" s="726"/>
      <c r="H200" s="726"/>
      <c r="L200" s="726"/>
      <c r="P200" s="726"/>
      <c r="T200" s="726"/>
      <c r="X200" s="726"/>
      <c r="AB200" s="726"/>
      <c r="AF200" s="726"/>
      <c r="AG200" s="726"/>
      <c r="AK200" s="726"/>
    </row>
    <row r="201" spans="4:37" x14ac:dyDescent="0.3">
      <c r="D201" s="726"/>
      <c r="H201" s="726"/>
      <c r="L201" s="726"/>
      <c r="P201" s="726"/>
      <c r="T201" s="726"/>
      <c r="X201" s="726"/>
      <c r="AB201" s="726"/>
      <c r="AF201" s="726"/>
      <c r="AG201" s="726"/>
      <c r="AK201" s="726"/>
    </row>
    <row r="202" spans="4:37" x14ac:dyDescent="0.3">
      <c r="D202" s="726"/>
      <c r="H202" s="726"/>
      <c r="L202" s="726"/>
      <c r="P202" s="726"/>
      <c r="T202" s="726"/>
      <c r="X202" s="726"/>
      <c r="AB202" s="726"/>
      <c r="AF202" s="726"/>
      <c r="AG202" s="726"/>
      <c r="AK202" s="726"/>
    </row>
    <row r="203" spans="4:37" x14ac:dyDescent="0.3">
      <c r="D203" s="726"/>
      <c r="H203" s="726"/>
      <c r="L203" s="726"/>
      <c r="P203" s="726"/>
      <c r="T203" s="726"/>
      <c r="X203" s="726"/>
      <c r="AB203" s="726"/>
      <c r="AF203" s="726"/>
      <c r="AG203" s="726"/>
      <c r="AK203" s="726"/>
    </row>
    <row r="204" spans="4:37" x14ac:dyDescent="0.3">
      <c r="D204" s="726"/>
      <c r="H204" s="726"/>
      <c r="L204" s="726"/>
      <c r="P204" s="726"/>
      <c r="T204" s="726"/>
      <c r="X204" s="726"/>
      <c r="AB204" s="726"/>
      <c r="AF204" s="726"/>
      <c r="AG204" s="726"/>
      <c r="AK204" s="726"/>
    </row>
    <row r="205" spans="4:37" x14ac:dyDescent="0.3">
      <c r="D205" s="726"/>
      <c r="H205" s="726"/>
      <c r="L205" s="726"/>
      <c r="P205" s="726"/>
      <c r="T205" s="726"/>
      <c r="X205" s="726"/>
      <c r="AB205" s="726"/>
      <c r="AF205" s="726"/>
      <c r="AG205" s="726"/>
      <c r="AK205" s="726"/>
    </row>
    <row r="206" spans="4:37" x14ac:dyDescent="0.3">
      <c r="D206" s="726"/>
      <c r="H206" s="726"/>
      <c r="L206" s="726"/>
      <c r="P206" s="726"/>
      <c r="T206" s="726"/>
      <c r="X206" s="726"/>
      <c r="AB206" s="726"/>
      <c r="AF206" s="726"/>
      <c r="AG206" s="726"/>
      <c r="AK206" s="726"/>
    </row>
    <row r="207" spans="4:37" x14ac:dyDescent="0.3">
      <c r="D207" s="726"/>
      <c r="H207" s="726"/>
      <c r="L207" s="726"/>
      <c r="P207" s="726"/>
      <c r="T207" s="726"/>
      <c r="X207" s="726"/>
      <c r="AB207" s="726"/>
      <c r="AF207" s="726"/>
      <c r="AG207" s="726"/>
      <c r="AK207" s="726"/>
    </row>
    <row r="208" spans="4:37" x14ac:dyDescent="0.3">
      <c r="D208" s="726"/>
      <c r="H208" s="726"/>
      <c r="L208" s="726"/>
      <c r="P208" s="726"/>
      <c r="T208" s="726"/>
      <c r="X208" s="726"/>
      <c r="AB208" s="726"/>
      <c r="AF208" s="726"/>
      <c r="AG208" s="726"/>
      <c r="AK208" s="726"/>
    </row>
    <row r="209" spans="4:37" x14ac:dyDescent="0.3">
      <c r="D209" s="726"/>
      <c r="H209" s="726"/>
      <c r="L209" s="726"/>
      <c r="P209" s="726"/>
      <c r="T209" s="726"/>
      <c r="X209" s="726"/>
      <c r="AB209" s="726"/>
      <c r="AF209" s="726"/>
      <c r="AG209" s="726"/>
      <c r="AK209" s="726"/>
    </row>
    <row r="210" spans="4:37" x14ac:dyDescent="0.3">
      <c r="D210" s="726"/>
      <c r="H210" s="726"/>
      <c r="L210" s="726"/>
      <c r="P210" s="726"/>
      <c r="T210" s="726"/>
      <c r="X210" s="726"/>
      <c r="AB210" s="726"/>
      <c r="AF210" s="726"/>
      <c r="AG210" s="726"/>
      <c r="AK210" s="726"/>
    </row>
    <row r="211" spans="4:37" x14ac:dyDescent="0.3">
      <c r="D211" s="726"/>
      <c r="H211" s="726"/>
      <c r="L211" s="726"/>
      <c r="P211" s="726"/>
      <c r="T211" s="726"/>
      <c r="X211" s="726"/>
      <c r="AB211" s="726"/>
      <c r="AF211" s="726"/>
      <c r="AG211" s="726"/>
      <c r="AK211" s="726"/>
    </row>
    <row r="212" spans="4:37" x14ac:dyDescent="0.3">
      <c r="D212" s="726"/>
      <c r="H212" s="726"/>
      <c r="L212" s="726"/>
      <c r="P212" s="726"/>
      <c r="T212" s="726"/>
      <c r="X212" s="726"/>
      <c r="AB212" s="726"/>
      <c r="AF212" s="726"/>
      <c r="AG212" s="726"/>
      <c r="AK212" s="726"/>
    </row>
    <row r="213" spans="4:37" x14ac:dyDescent="0.3">
      <c r="D213" s="726"/>
      <c r="H213" s="726"/>
      <c r="L213" s="726"/>
      <c r="P213" s="726"/>
      <c r="T213" s="726"/>
      <c r="X213" s="726"/>
      <c r="AB213" s="726"/>
      <c r="AF213" s="726"/>
      <c r="AG213" s="726"/>
      <c r="AK213" s="726"/>
    </row>
    <row r="214" spans="4:37" x14ac:dyDescent="0.3">
      <c r="D214" s="726"/>
      <c r="H214" s="726"/>
      <c r="L214" s="726"/>
      <c r="P214" s="726"/>
      <c r="T214" s="726"/>
      <c r="X214" s="726"/>
      <c r="AB214" s="726"/>
      <c r="AF214" s="726"/>
      <c r="AG214" s="726"/>
      <c r="AK214" s="726"/>
    </row>
    <row r="215" spans="4:37" x14ac:dyDescent="0.3">
      <c r="D215" s="726"/>
      <c r="H215" s="726"/>
      <c r="L215" s="726"/>
      <c r="P215" s="726"/>
      <c r="T215" s="726"/>
      <c r="X215" s="726"/>
      <c r="AB215" s="726"/>
      <c r="AF215" s="726"/>
      <c r="AG215" s="726"/>
      <c r="AK215" s="726"/>
    </row>
    <row r="216" spans="4:37" x14ac:dyDescent="0.3">
      <c r="D216" s="726"/>
      <c r="H216" s="726"/>
      <c r="L216" s="726"/>
      <c r="P216" s="726"/>
      <c r="T216" s="726"/>
      <c r="X216" s="726"/>
      <c r="AB216" s="726"/>
      <c r="AF216" s="726"/>
      <c r="AG216" s="726"/>
      <c r="AK216" s="726"/>
    </row>
    <row r="217" spans="4:37" x14ac:dyDescent="0.3">
      <c r="D217" s="726"/>
      <c r="H217" s="726"/>
      <c r="L217" s="726"/>
      <c r="P217" s="726"/>
      <c r="T217" s="726"/>
      <c r="X217" s="726"/>
      <c r="AB217" s="726"/>
      <c r="AF217" s="726"/>
      <c r="AG217" s="726"/>
      <c r="AK217" s="726"/>
    </row>
    <row r="218" spans="4:37" x14ac:dyDescent="0.3">
      <c r="D218" s="726"/>
      <c r="H218" s="726"/>
      <c r="L218" s="726"/>
      <c r="P218" s="726"/>
      <c r="T218" s="726"/>
      <c r="X218" s="726"/>
      <c r="AB218" s="726"/>
      <c r="AF218" s="726"/>
      <c r="AG218" s="726"/>
      <c r="AK218" s="726"/>
    </row>
    <row r="219" spans="4:37" x14ac:dyDescent="0.3">
      <c r="D219" s="726"/>
      <c r="H219" s="726"/>
      <c r="L219" s="726"/>
      <c r="P219" s="726"/>
      <c r="T219" s="726"/>
      <c r="X219" s="726"/>
      <c r="AB219" s="726"/>
      <c r="AF219" s="726"/>
      <c r="AG219" s="726"/>
      <c r="AK219" s="726"/>
    </row>
    <row r="220" spans="4:37" x14ac:dyDescent="0.3">
      <c r="D220" s="726"/>
      <c r="H220" s="726"/>
      <c r="L220" s="726"/>
      <c r="P220" s="726"/>
      <c r="T220" s="726"/>
      <c r="X220" s="726"/>
      <c r="AB220" s="726"/>
      <c r="AF220" s="726"/>
      <c r="AG220" s="726"/>
      <c r="AK220" s="726"/>
    </row>
    <row r="221" spans="4:37" x14ac:dyDescent="0.3">
      <c r="D221" s="726"/>
      <c r="H221" s="726"/>
      <c r="L221" s="726"/>
      <c r="P221" s="726"/>
      <c r="T221" s="726"/>
      <c r="X221" s="726"/>
      <c r="AB221" s="726"/>
      <c r="AF221" s="726"/>
      <c r="AG221" s="726"/>
      <c r="AK221" s="726"/>
    </row>
    <row r="222" spans="4:37" x14ac:dyDescent="0.3">
      <c r="D222" s="726"/>
      <c r="H222" s="726"/>
      <c r="L222" s="726"/>
      <c r="P222" s="726"/>
      <c r="T222" s="726"/>
      <c r="X222" s="726"/>
      <c r="AB222" s="726"/>
      <c r="AF222" s="726"/>
      <c r="AG222" s="726"/>
      <c r="AK222" s="726"/>
    </row>
    <row r="223" spans="4:37" x14ac:dyDescent="0.3">
      <c r="D223" s="726"/>
      <c r="H223" s="726"/>
      <c r="L223" s="726"/>
      <c r="P223" s="726"/>
      <c r="T223" s="726"/>
      <c r="X223" s="726"/>
      <c r="AB223" s="726"/>
      <c r="AF223" s="726"/>
      <c r="AG223" s="726"/>
      <c r="AK223" s="726"/>
    </row>
    <row r="224" spans="4:37" x14ac:dyDescent="0.3">
      <c r="D224" s="726"/>
      <c r="H224" s="726"/>
      <c r="L224" s="726"/>
      <c r="P224" s="726"/>
      <c r="T224" s="726"/>
      <c r="X224" s="726"/>
      <c r="AB224" s="726"/>
      <c r="AF224" s="726"/>
      <c r="AG224" s="726"/>
      <c r="AK224" s="726"/>
    </row>
    <row r="225" spans="4:37" x14ac:dyDescent="0.3">
      <c r="D225" s="726"/>
      <c r="H225" s="726"/>
      <c r="L225" s="726"/>
      <c r="P225" s="726"/>
      <c r="T225" s="726"/>
      <c r="X225" s="726"/>
      <c r="AB225" s="726"/>
      <c r="AF225" s="726"/>
      <c r="AG225" s="726"/>
      <c r="AK225" s="726"/>
    </row>
    <row r="226" spans="4:37" x14ac:dyDescent="0.3">
      <c r="D226" s="726"/>
      <c r="H226" s="726"/>
      <c r="L226" s="726"/>
      <c r="P226" s="726"/>
      <c r="T226" s="726"/>
      <c r="X226" s="726"/>
      <c r="AB226" s="726"/>
      <c r="AF226" s="726"/>
      <c r="AG226" s="726"/>
      <c r="AK226" s="726"/>
    </row>
    <row r="227" spans="4:37" x14ac:dyDescent="0.3">
      <c r="D227" s="726"/>
      <c r="H227" s="726"/>
      <c r="L227" s="726"/>
      <c r="P227" s="726"/>
      <c r="T227" s="726"/>
      <c r="X227" s="726"/>
      <c r="AB227" s="726"/>
      <c r="AF227" s="726"/>
      <c r="AG227" s="726"/>
      <c r="AK227" s="726"/>
    </row>
    <row r="228" spans="4:37" x14ac:dyDescent="0.3">
      <c r="D228" s="726"/>
      <c r="H228" s="726"/>
      <c r="L228" s="726"/>
      <c r="P228" s="726"/>
      <c r="T228" s="726"/>
      <c r="X228" s="726"/>
      <c r="AB228" s="726"/>
      <c r="AF228" s="726"/>
      <c r="AG228" s="726"/>
      <c r="AK228" s="726"/>
    </row>
    <row r="229" spans="4:37" x14ac:dyDescent="0.3">
      <c r="D229" s="726"/>
      <c r="H229" s="726"/>
      <c r="L229" s="726"/>
      <c r="P229" s="726"/>
      <c r="T229" s="726"/>
      <c r="X229" s="726"/>
      <c r="AB229" s="726"/>
      <c r="AF229" s="726"/>
      <c r="AG229" s="726"/>
      <c r="AK229" s="726"/>
    </row>
    <row r="230" spans="4:37" x14ac:dyDescent="0.3">
      <c r="D230" s="726"/>
      <c r="H230" s="726"/>
      <c r="L230" s="726"/>
      <c r="P230" s="726"/>
      <c r="T230" s="726"/>
      <c r="X230" s="726"/>
      <c r="AB230" s="726"/>
      <c r="AF230" s="726"/>
      <c r="AG230" s="726"/>
      <c r="AK230" s="726"/>
    </row>
    <row r="231" spans="4:37" x14ac:dyDescent="0.3">
      <c r="D231" s="726"/>
      <c r="H231" s="726"/>
      <c r="L231" s="726"/>
      <c r="P231" s="726"/>
      <c r="T231" s="726"/>
      <c r="X231" s="726"/>
      <c r="AB231" s="726"/>
      <c r="AF231" s="726"/>
      <c r="AG231" s="726"/>
      <c r="AK231" s="726"/>
    </row>
    <row r="232" spans="4:37" x14ac:dyDescent="0.3">
      <c r="D232" s="726"/>
      <c r="H232" s="726"/>
      <c r="L232" s="726"/>
      <c r="P232" s="726"/>
      <c r="T232" s="726"/>
      <c r="X232" s="726"/>
      <c r="AB232" s="726"/>
      <c r="AF232" s="726"/>
      <c r="AG232" s="726"/>
      <c r="AK232" s="726"/>
    </row>
    <row r="233" spans="4:37" x14ac:dyDescent="0.3">
      <c r="D233" s="726"/>
      <c r="H233" s="726"/>
      <c r="L233" s="726"/>
      <c r="P233" s="726"/>
      <c r="T233" s="726"/>
      <c r="X233" s="726"/>
      <c r="AB233" s="726"/>
      <c r="AF233" s="726"/>
      <c r="AG233" s="726"/>
      <c r="AK233" s="726"/>
    </row>
    <row r="234" spans="4:37" x14ac:dyDescent="0.3">
      <c r="D234" s="726"/>
      <c r="H234" s="726"/>
      <c r="L234" s="726"/>
      <c r="P234" s="726"/>
      <c r="T234" s="726"/>
      <c r="X234" s="726"/>
      <c r="AB234" s="726"/>
      <c r="AF234" s="726"/>
      <c r="AG234" s="726"/>
      <c r="AK234" s="726"/>
    </row>
    <row r="235" spans="4:37" x14ac:dyDescent="0.3">
      <c r="D235" s="726"/>
      <c r="H235" s="726"/>
      <c r="L235" s="726"/>
      <c r="P235" s="726"/>
      <c r="T235" s="726"/>
      <c r="X235" s="726"/>
      <c r="AB235" s="726"/>
      <c r="AF235" s="726"/>
      <c r="AG235" s="726"/>
      <c r="AK235" s="726"/>
    </row>
    <row r="236" spans="4:37" x14ac:dyDescent="0.3">
      <c r="D236" s="726"/>
      <c r="H236" s="726"/>
      <c r="L236" s="726"/>
      <c r="P236" s="726"/>
      <c r="T236" s="726"/>
      <c r="X236" s="726"/>
      <c r="AB236" s="726"/>
      <c r="AF236" s="726"/>
      <c r="AG236" s="726"/>
      <c r="AK236" s="726"/>
    </row>
    <row r="237" spans="4:37" x14ac:dyDescent="0.3">
      <c r="D237" s="726"/>
      <c r="H237" s="726"/>
      <c r="L237" s="726"/>
      <c r="P237" s="726"/>
      <c r="T237" s="726"/>
      <c r="X237" s="726"/>
      <c r="AB237" s="726"/>
      <c r="AF237" s="726"/>
      <c r="AG237" s="726"/>
      <c r="AK237" s="726"/>
    </row>
    <row r="238" spans="4:37" x14ac:dyDescent="0.3">
      <c r="D238" s="726"/>
      <c r="H238" s="726"/>
      <c r="L238" s="726"/>
      <c r="P238" s="726"/>
      <c r="T238" s="726"/>
      <c r="X238" s="726"/>
      <c r="AB238" s="726"/>
      <c r="AF238" s="726"/>
      <c r="AG238" s="726"/>
      <c r="AK238" s="726"/>
    </row>
    <row r="239" spans="4:37" x14ac:dyDescent="0.3">
      <c r="D239" s="726"/>
      <c r="H239" s="726"/>
      <c r="L239" s="726"/>
      <c r="P239" s="726"/>
      <c r="T239" s="726"/>
      <c r="X239" s="726"/>
      <c r="AB239" s="726"/>
      <c r="AF239" s="726"/>
      <c r="AG239" s="726"/>
      <c r="AK239" s="726"/>
    </row>
    <row r="240" spans="4:37" x14ac:dyDescent="0.3">
      <c r="D240" s="726"/>
      <c r="H240" s="726"/>
      <c r="L240" s="726"/>
      <c r="P240" s="726"/>
      <c r="T240" s="726"/>
      <c r="X240" s="726"/>
      <c r="AB240" s="726"/>
      <c r="AF240" s="726"/>
      <c r="AG240" s="726"/>
      <c r="AK240" s="726"/>
    </row>
    <row r="241" spans="4:37" x14ac:dyDescent="0.3">
      <c r="D241" s="726"/>
      <c r="H241" s="726"/>
      <c r="L241" s="726"/>
      <c r="P241" s="726"/>
      <c r="T241" s="726"/>
      <c r="X241" s="726"/>
      <c r="AB241" s="726"/>
      <c r="AF241" s="726"/>
      <c r="AG241" s="726"/>
      <c r="AK241" s="726"/>
    </row>
    <row r="242" spans="4:37" x14ac:dyDescent="0.3">
      <c r="D242" s="726"/>
      <c r="H242" s="726"/>
      <c r="L242" s="726"/>
      <c r="P242" s="726"/>
      <c r="T242" s="726"/>
      <c r="X242" s="726"/>
      <c r="AB242" s="726"/>
      <c r="AF242" s="726"/>
      <c r="AG242" s="726"/>
      <c r="AK242" s="726"/>
    </row>
    <row r="243" spans="4:37" x14ac:dyDescent="0.3">
      <c r="D243" s="726"/>
      <c r="H243" s="726"/>
      <c r="L243" s="726"/>
      <c r="P243" s="726"/>
      <c r="T243" s="726"/>
      <c r="X243" s="726"/>
      <c r="AB243" s="726"/>
      <c r="AF243" s="726"/>
      <c r="AG243" s="726"/>
      <c r="AK243" s="726"/>
    </row>
    <row r="244" spans="4:37" x14ac:dyDescent="0.3">
      <c r="D244" s="726"/>
      <c r="H244" s="726"/>
      <c r="L244" s="726"/>
      <c r="P244" s="726"/>
      <c r="T244" s="726"/>
      <c r="X244" s="726"/>
      <c r="AB244" s="726"/>
      <c r="AF244" s="726"/>
      <c r="AG244" s="726"/>
      <c r="AK244" s="726"/>
    </row>
    <row r="245" spans="4:37" x14ac:dyDescent="0.3">
      <c r="D245" s="726"/>
      <c r="H245" s="726"/>
      <c r="L245" s="726"/>
      <c r="P245" s="726"/>
      <c r="T245" s="726"/>
      <c r="X245" s="726"/>
      <c r="AB245" s="726"/>
      <c r="AF245" s="726"/>
      <c r="AG245" s="726"/>
      <c r="AK245" s="726"/>
    </row>
    <row r="246" spans="4:37" x14ac:dyDescent="0.3">
      <c r="D246" s="726"/>
      <c r="H246" s="726"/>
      <c r="L246" s="726"/>
      <c r="P246" s="726"/>
      <c r="T246" s="726"/>
      <c r="X246" s="726"/>
      <c r="AB246" s="726"/>
      <c r="AF246" s="726"/>
      <c r="AG246" s="726"/>
      <c r="AK246" s="726"/>
    </row>
    <row r="247" spans="4:37" x14ac:dyDescent="0.3">
      <c r="D247" s="726"/>
      <c r="H247" s="726"/>
      <c r="L247" s="726"/>
      <c r="P247" s="726"/>
      <c r="T247" s="726"/>
      <c r="X247" s="726"/>
      <c r="AB247" s="726"/>
      <c r="AF247" s="726"/>
      <c r="AG247" s="726"/>
      <c r="AK247" s="726"/>
    </row>
    <row r="248" spans="4:37" x14ac:dyDescent="0.3">
      <c r="D248" s="726"/>
      <c r="H248" s="726"/>
      <c r="L248" s="726"/>
      <c r="P248" s="726"/>
      <c r="T248" s="726"/>
      <c r="X248" s="726"/>
      <c r="AB248" s="726"/>
      <c r="AF248" s="726"/>
      <c r="AG248" s="726"/>
      <c r="AK248" s="726"/>
    </row>
    <row r="249" spans="4:37" x14ac:dyDescent="0.3">
      <c r="D249" s="726"/>
      <c r="H249" s="726"/>
      <c r="L249" s="726"/>
      <c r="P249" s="726"/>
      <c r="T249" s="726"/>
      <c r="X249" s="726"/>
      <c r="AB249" s="726"/>
      <c r="AF249" s="726"/>
      <c r="AG249" s="726"/>
      <c r="AK249" s="726"/>
    </row>
    <row r="250" spans="4:37" x14ac:dyDescent="0.3">
      <c r="D250" s="726"/>
      <c r="H250" s="726"/>
      <c r="L250" s="726"/>
      <c r="P250" s="726"/>
      <c r="T250" s="726"/>
      <c r="X250" s="726"/>
      <c r="AB250" s="726"/>
      <c r="AF250" s="726"/>
      <c r="AG250" s="726"/>
      <c r="AK250" s="726"/>
    </row>
    <row r="251" spans="4:37" x14ac:dyDescent="0.3">
      <c r="D251" s="726"/>
      <c r="H251" s="726"/>
      <c r="L251" s="726"/>
      <c r="P251" s="726"/>
      <c r="T251" s="726"/>
      <c r="X251" s="726"/>
      <c r="AB251" s="726"/>
      <c r="AF251" s="726"/>
      <c r="AG251" s="726"/>
      <c r="AK251" s="726"/>
    </row>
    <row r="252" spans="4:37" x14ac:dyDescent="0.3">
      <c r="D252" s="726"/>
      <c r="H252" s="726"/>
      <c r="L252" s="726"/>
      <c r="P252" s="726"/>
      <c r="T252" s="726"/>
      <c r="X252" s="726"/>
      <c r="AB252" s="726"/>
      <c r="AF252" s="726"/>
      <c r="AG252" s="726"/>
      <c r="AK252" s="726"/>
    </row>
    <row r="253" spans="4:37" x14ac:dyDescent="0.3">
      <c r="D253" s="726"/>
      <c r="H253" s="726"/>
      <c r="L253" s="726"/>
      <c r="P253" s="726"/>
      <c r="T253" s="726"/>
      <c r="X253" s="726"/>
      <c r="AB253" s="726"/>
      <c r="AF253" s="726"/>
      <c r="AG253" s="726"/>
      <c r="AK253" s="726"/>
    </row>
    <row r="254" spans="4:37" x14ac:dyDescent="0.3">
      <c r="D254" s="726"/>
      <c r="H254" s="726"/>
      <c r="L254" s="726"/>
      <c r="P254" s="726"/>
      <c r="T254" s="726"/>
      <c r="X254" s="726"/>
      <c r="AB254" s="726"/>
      <c r="AF254" s="726"/>
      <c r="AG254" s="726"/>
      <c r="AK254" s="726"/>
    </row>
    <row r="255" spans="4:37" x14ac:dyDescent="0.3">
      <c r="D255" s="726"/>
      <c r="H255" s="726"/>
      <c r="L255" s="726"/>
      <c r="P255" s="726"/>
      <c r="T255" s="726"/>
      <c r="X255" s="726"/>
      <c r="AB255" s="726"/>
      <c r="AF255" s="726"/>
      <c r="AG255" s="726"/>
      <c r="AK255" s="726"/>
    </row>
    <row r="256" spans="4:37" x14ac:dyDescent="0.3">
      <c r="D256" s="726"/>
      <c r="H256" s="726"/>
      <c r="L256" s="726"/>
      <c r="P256" s="726"/>
      <c r="T256" s="726"/>
      <c r="X256" s="726"/>
      <c r="AB256" s="726"/>
      <c r="AF256" s="726"/>
      <c r="AG256" s="726"/>
      <c r="AK256" s="726"/>
    </row>
    <row r="257" spans="4:37" x14ac:dyDescent="0.3">
      <c r="D257" s="726"/>
      <c r="H257" s="726"/>
      <c r="L257" s="726"/>
      <c r="P257" s="726"/>
      <c r="T257" s="726"/>
      <c r="X257" s="726"/>
      <c r="AB257" s="726"/>
      <c r="AF257" s="726"/>
      <c r="AG257" s="726"/>
      <c r="AK257" s="726"/>
    </row>
    <row r="258" spans="4:37" x14ac:dyDescent="0.3">
      <c r="D258" s="726"/>
      <c r="H258" s="726"/>
      <c r="L258" s="726"/>
      <c r="P258" s="726"/>
      <c r="T258" s="726"/>
      <c r="X258" s="726"/>
      <c r="AB258" s="726"/>
      <c r="AF258" s="726"/>
      <c r="AG258" s="726"/>
      <c r="AK258" s="726"/>
    </row>
    <row r="259" spans="4:37" x14ac:dyDescent="0.3">
      <c r="D259" s="726"/>
      <c r="H259" s="726"/>
      <c r="L259" s="726"/>
      <c r="P259" s="726"/>
      <c r="T259" s="726"/>
      <c r="X259" s="726"/>
      <c r="AB259" s="726"/>
      <c r="AF259" s="726"/>
      <c r="AG259" s="726"/>
      <c r="AK259" s="726"/>
    </row>
    <row r="260" spans="4:37" x14ac:dyDescent="0.3">
      <c r="D260" s="726"/>
      <c r="H260" s="726"/>
      <c r="L260" s="726"/>
      <c r="P260" s="726"/>
      <c r="T260" s="726"/>
      <c r="X260" s="726"/>
      <c r="AB260" s="726"/>
      <c r="AF260" s="726"/>
      <c r="AG260" s="726"/>
      <c r="AK260" s="726"/>
    </row>
    <row r="261" spans="4:37" x14ac:dyDescent="0.3">
      <c r="D261" s="726"/>
      <c r="H261" s="726"/>
      <c r="L261" s="726"/>
      <c r="P261" s="726"/>
      <c r="T261" s="726"/>
      <c r="X261" s="726"/>
      <c r="AB261" s="726"/>
      <c r="AF261" s="726"/>
      <c r="AG261" s="726"/>
      <c r="AK261" s="726"/>
    </row>
    <row r="262" spans="4:37" x14ac:dyDescent="0.3">
      <c r="D262" s="726"/>
      <c r="H262" s="726"/>
      <c r="L262" s="726"/>
      <c r="P262" s="726"/>
      <c r="T262" s="726"/>
      <c r="X262" s="726"/>
      <c r="AB262" s="726"/>
      <c r="AF262" s="726"/>
      <c r="AG262" s="726"/>
      <c r="AK262" s="726"/>
    </row>
    <row r="263" spans="4:37" x14ac:dyDescent="0.3">
      <c r="D263" s="726"/>
      <c r="H263" s="726"/>
      <c r="L263" s="726"/>
      <c r="P263" s="726"/>
      <c r="T263" s="726"/>
      <c r="X263" s="726"/>
      <c r="AB263" s="726"/>
      <c r="AF263" s="726"/>
      <c r="AG263" s="726"/>
      <c r="AK263" s="726"/>
    </row>
    <row r="264" spans="4:37" x14ac:dyDescent="0.3">
      <c r="D264" s="726"/>
      <c r="H264" s="726"/>
      <c r="L264" s="726"/>
      <c r="P264" s="726"/>
      <c r="T264" s="726"/>
      <c r="X264" s="726"/>
      <c r="AB264" s="726"/>
      <c r="AF264" s="726"/>
      <c r="AG264" s="726"/>
      <c r="AK264" s="726"/>
    </row>
    <row r="265" spans="4:37" x14ac:dyDescent="0.3">
      <c r="D265" s="726"/>
      <c r="H265" s="726"/>
      <c r="L265" s="726"/>
      <c r="P265" s="726"/>
      <c r="T265" s="726"/>
      <c r="X265" s="726"/>
      <c r="AB265" s="726"/>
      <c r="AF265" s="726"/>
      <c r="AG265" s="726"/>
      <c r="AK265" s="726"/>
    </row>
    <row r="266" spans="4:37" x14ac:dyDescent="0.3">
      <c r="D266" s="726"/>
      <c r="H266" s="726"/>
      <c r="L266" s="726"/>
      <c r="P266" s="726"/>
      <c r="T266" s="726"/>
      <c r="X266" s="726"/>
      <c r="AB266" s="726"/>
      <c r="AF266" s="726"/>
      <c r="AG266" s="726"/>
      <c r="AK266" s="726"/>
    </row>
    <row r="267" spans="4:37" x14ac:dyDescent="0.3">
      <c r="D267" s="726"/>
      <c r="H267" s="726"/>
      <c r="L267" s="726"/>
      <c r="P267" s="726"/>
      <c r="T267" s="726"/>
      <c r="X267" s="726"/>
      <c r="AB267" s="726"/>
      <c r="AF267" s="726"/>
      <c r="AG267" s="726"/>
      <c r="AK267" s="726"/>
    </row>
    <row r="268" spans="4:37" x14ac:dyDescent="0.3">
      <c r="D268" s="726"/>
      <c r="H268" s="726"/>
      <c r="L268" s="726"/>
      <c r="P268" s="726"/>
      <c r="T268" s="726"/>
      <c r="X268" s="726"/>
      <c r="AB268" s="726"/>
      <c r="AF268" s="726"/>
      <c r="AG268" s="726"/>
      <c r="AK268" s="726"/>
    </row>
    <row r="269" spans="4:37" x14ac:dyDescent="0.3">
      <c r="D269" s="726"/>
      <c r="H269" s="726"/>
      <c r="L269" s="726"/>
      <c r="P269" s="726"/>
      <c r="T269" s="726"/>
      <c r="X269" s="726"/>
      <c r="AB269" s="726"/>
      <c r="AF269" s="726"/>
      <c r="AG269" s="726"/>
      <c r="AK269" s="726"/>
    </row>
    <row r="270" spans="4:37" x14ac:dyDescent="0.3">
      <c r="D270" s="726"/>
      <c r="H270" s="726"/>
      <c r="L270" s="726"/>
      <c r="P270" s="726"/>
      <c r="T270" s="726"/>
      <c r="X270" s="726"/>
      <c r="AB270" s="726"/>
      <c r="AF270" s="726"/>
      <c r="AG270" s="726"/>
      <c r="AK270" s="726"/>
    </row>
    <row r="271" spans="4:37" x14ac:dyDescent="0.3">
      <c r="D271" s="726"/>
      <c r="H271" s="726"/>
      <c r="L271" s="726"/>
      <c r="P271" s="726"/>
      <c r="T271" s="726"/>
      <c r="X271" s="726"/>
      <c r="AB271" s="726"/>
      <c r="AF271" s="726"/>
      <c r="AG271" s="726"/>
      <c r="AK271" s="726"/>
    </row>
    <row r="272" spans="4:37" x14ac:dyDescent="0.3">
      <c r="D272" s="726"/>
      <c r="H272" s="726"/>
      <c r="L272" s="726"/>
      <c r="P272" s="726"/>
      <c r="T272" s="726"/>
      <c r="X272" s="726"/>
      <c r="AB272" s="726"/>
      <c r="AF272" s="726"/>
      <c r="AG272" s="726"/>
      <c r="AK272" s="726"/>
    </row>
    <row r="273" spans="4:37" x14ac:dyDescent="0.3">
      <c r="D273" s="726"/>
      <c r="H273" s="726"/>
      <c r="L273" s="726"/>
      <c r="P273" s="726"/>
      <c r="T273" s="726"/>
      <c r="X273" s="726"/>
      <c r="AB273" s="726"/>
      <c r="AF273" s="726"/>
      <c r="AG273" s="726"/>
      <c r="AK273" s="726"/>
    </row>
    <row r="274" spans="4:37" x14ac:dyDescent="0.3">
      <c r="D274" s="726"/>
      <c r="H274" s="726"/>
      <c r="L274" s="726"/>
      <c r="P274" s="726"/>
      <c r="T274" s="726"/>
      <c r="X274" s="726"/>
      <c r="AB274" s="726"/>
      <c r="AF274" s="726"/>
      <c r="AG274" s="726"/>
      <c r="AK274" s="726"/>
    </row>
    <row r="275" spans="4:37" x14ac:dyDescent="0.3">
      <c r="D275" s="726"/>
      <c r="H275" s="726"/>
      <c r="L275" s="726"/>
      <c r="P275" s="726"/>
      <c r="T275" s="726"/>
      <c r="X275" s="726"/>
      <c r="AB275" s="726"/>
      <c r="AF275" s="726"/>
      <c r="AG275" s="726"/>
      <c r="AK275" s="726"/>
    </row>
    <row r="276" spans="4:37" x14ac:dyDescent="0.3">
      <c r="D276" s="726"/>
      <c r="H276" s="726"/>
      <c r="L276" s="726"/>
      <c r="P276" s="726"/>
      <c r="T276" s="726"/>
      <c r="X276" s="726"/>
      <c r="AB276" s="726"/>
      <c r="AF276" s="726"/>
      <c r="AG276" s="726"/>
      <c r="AK276" s="726"/>
    </row>
    <row r="277" spans="4:37" x14ac:dyDescent="0.3">
      <c r="D277" s="726"/>
      <c r="H277" s="726"/>
      <c r="L277" s="726"/>
      <c r="P277" s="726"/>
      <c r="T277" s="726"/>
      <c r="X277" s="726"/>
      <c r="AB277" s="726"/>
      <c r="AF277" s="726"/>
      <c r="AG277" s="726"/>
      <c r="AK277" s="726"/>
    </row>
    <row r="278" spans="4:37" x14ac:dyDescent="0.3">
      <c r="D278" s="726"/>
      <c r="H278" s="726"/>
      <c r="L278" s="726"/>
      <c r="P278" s="726"/>
      <c r="T278" s="726"/>
      <c r="X278" s="726"/>
      <c r="AB278" s="726"/>
      <c r="AF278" s="726"/>
      <c r="AG278" s="726"/>
      <c r="AK278" s="726"/>
    </row>
    <row r="279" spans="4:37" x14ac:dyDescent="0.3">
      <c r="D279" s="726"/>
      <c r="H279" s="726"/>
      <c r="L279" s="726"/>
      <c r="P279" s="726"/>
      <c r="T279" s="726"/>
      <c r="X279" s="726"/>
      <c r="AB279" s="726"/>
      <c r="AF279" s="726"/>
      <c r="AG279" s="726"/>
      <c r="AK279" s="726"/>
    </row>
    <row r="280" spans="4:37" x14ac:dyDescent="0.3">
      <c r="D280" s="726"/>
      <c r="H280" s="726"/>
      <c r="L280" s="726"/>
      <c r="P280" s="726"/>
      <c r="T280" s="726"/>
      <c r="X280" s="726"/>
      <c r="AB280" s="726"/>
      <c r="AF280" s="726"/>
      <c r="AG280" s="726"/>
      <c r="AK280" s="726"/>
    </row>
    <row r="281" spans="4:37" x14ac:dyDescent="0.3">
      <c r="D281" s="726"/>
      <c r="H281" s="726"/>
      <c r="L281" s="726"/>
      <c r="P281" s="726"/>
      <c r="T281" s="726"/>
      <c r="X281" s="726"/>
      <c r="AB281" s="726"/>
      <c r="AF281" s="726"/>
      <c r="AG281" s="726"/>
      <c r="AK281" s="726"/>
    </row>
    <row r="282" spans="4:37" x14ac:dyDescent="0.3">
      <c r="D282" s="726"/>
      <c r="H282" s="726"/>
      <c r="L282" s="726"/>
      <c r="P282" s="726"/>
      <c r="T282" s="726"/>
      <c r="X282" s="726"/>
      <c r="AB282" s="726"/>
      <c r="AF282" s="726"/>
      <c r="AG282" s="726"/>
      <c r="AK282" s="726"/>
    </row>
    <row r="283" spans="4:37" x14ac:dyDescent="0.3">
      <c r="D283" s="726"/>
      <c r="H283" s="726"/>
      <c r="L283" s="726"/>
      <c r="P283" s="726"/>
      <c r="T283" s="726"/>
      <c r="X283" s="726"/>
      <c r="AB283" s="726"/>
      <c r="AF283" s="726"/>
      <c r="AG283" s="726"/>
      <c r="AK283" s="726"/>
    </row>
    <row r="284" spans="4:37" x14ac:dyDescent="0.3">
      <c r="D284" s="726"/>
      <c r="H284" s="726"/>
      <c r="L284" s="726"/>
      <c r="P284" s="726"/>
      <c r="T284" s="726"/>
      <c r="X284" s="726"/>
      <c r="AB284" s="726"/>
      <c r="AF284" s="726"/>
      <c r="AG284" s="726"/>
      <c r="AK284" s="726"/>
    </row>
    <row r="285" spans="4:37" x14ac:dyDescent="0.3">
      <c r="D285" s="726"/>
      <c r="H285" s="726"/>
      <c r="L285" s="726"/>
      <c r="P285" s="726"/>
      <c r="T285" s="726"/>
      <c r="X285" s="726"/>
      <c r="AB285" s="726"/>
      <c r="AF285" s="726"/>
      <c r="AG285" s="726"/>
      <c r="AK285" s="726"/>
    </row>
    <row r="286" spans="4:37" x14ac:dyDescent="0.3">
      <c r="D286" s="726"/>
      <c r="H286" s="726"/>
      <c r="L286" s="726"/>
      <c r="P286" s="726"/>
      <c r="T286" s="726"/>
      <c r="X286" s="726"/>
      <c r="AB286" s="726"/>
      <c r="AF286" s="726"/>
      <c r="AG286" s="726"/>
      <c r="AK286" s="726"/>
    </row>
    <row r="287" spans="4:37" x14ac:dyDescent="0.3">
      <c r="D287" s="726"/>
      <c r="H287" s="726"/>
      <c r="L287" s="726"/>
      <c r="P287" s="726"/>
      <c r="T287" s="726"/>
      <c r="X287" s="726"/>
      <c r="AB287" s="726"/>
      <c r="AF287" s="726"/>
      <c r="AG287" s="726"/>
      <c r="AK287" s="726"/>
    </row>
    <row r="288" spans="4:37" x14ac:dyDescent="0.3">
      <c r="D288" s="726"/>
      <c r="H288" s="726"/>
      <c r="L288" s="726"/>
      <c r="P288" s="726"/>
      <c r="T288" s="726"/>
      <c r="X288" s="726"/>
      <c r="AB288" s="726"/>
      <c r="AF288" s="726"/>
      <c r="AG288" s="726"/>
      <c r="AK288" s="726"/>
    </row>
    <row r="289" spans="4:37" x14ac:dyDescent="0.3">
      <c r="D289" s="726"/>
      <c r="H289" s="726"/>
      <c r="L289" s="726"/>
      <c r="P289" s="726"/>
      <c r="T289" s="726"/>
      <c r="X289" s="726"/>
      <c r="AB289" s="726"/>
      <c r="AF289" s="726"/>
      <c r="AG289" s="726"/>
      <c r="AK289" s="726"/>
    </row>
    <row r="290" spans="4:37" x14ac:dyDescent="0.3">
      <c r="D290" s="726"/>
      <c r="H290" s="726"/>
      <c r="L290" s="726"/>
      <c r="P290" s="726"/>
      <c r="T290" s="726"/>
      <c r="X290" s="726"/>
      <c r="AB290" s="726"/>
      <c r="AF290" s="726"/>
      <c r="AG290" s="726"/>
      <c r="AK290" s="726"/>
    </row>
    <row r="291" spans="4:37" x14ac:dyDescent="0.3">
      <c r="D291" s="726"/>
      <c r="H291" s="726"/>
      <c r="L291" s="726"/>
      <c r="P291" s="726"/>
      <c r="T291" s="726"/>
      <c r="X291" s="726"/>
      <c r="AB291" s="726"/>
      <c r="AF291" s="726"/>
      <c r="AG291" s="726"/>
      <c r="AK291" s="726"/>
    </row>
    <row r="292" spans="4:37" x14ac:dyDescent="0.3">
      <c r="D292" s="726"/>
      <c r="H292" s="726"/>
      <c r="L292" s="726"/>
      <c r="P292" s="726"/>
      <c r="T292" s="726"/>
      <c r="X292" s="726"/>
      <c r="AB292" s="726"/>
      <c r="AF292" s="726"/>
      <c r="AG292" s="726"/>
      <c r="AK292" s="726"/>
    </row>
    <row r="293" spans="4:37" x14ac:dyDescent="0.3">
      <c r="D293" s="726"/>
      <c r="H293" s="726"/>
      <c r="L293" s="726"/>
      <c r="P293" s="726"/>
      <c r="T293" s="726"/>
      <c r="X293" s="726"/>
      <c r="AB293" s="726"/>
      <c r="AF293" s="726"/>
      <c r="AG293" s="726"/>
      <c r="AK293" s="726"/>
    </row>
    <row r="294" spans="4:37" x14ac:dyDescent="0.3">
      <c r="D294" s="726"/>
      <c r="H294" s="726"/>
      <c r="L294" s="726"/>
      <c r="P294" s="726"/>
      <c r="T294" s="726"/>
      <c r="X294" s="726"/>
      <c r="AB294" s="726"/>
      <c r="AF294" s="726"/>
      <c r="AG294" s="726"/>
      <c r="AK294" s="726"/>
    </row>
    <row r="295" spans="4:37" x14ac:dyDescent="0.3">
      <c r="D295" s="726"/>
      <c r="H295" s="726"/>
      <c r="L295" s="726"/>
      <c r="P295" s="726"/>
      <c r="T295" s="726"/>
      <c r="X295" s="726"/>
      <c r="AB295" s="726"/>
      <c r="AF295" s="726"/>
      <c r="AG295" s="726"/>
      <c r="AK295" s="726"/>
    </row>
    <row r="296" spans="4:37" x14ac:dyDescent="0.3">
      <c r="D296" s="726"/>
      <c r="H296" s="726"/>
      <c r="L296" s="726"/>
      <c r="P296" s="726"/>
      <c r="T296" s="726"/>
      <c r="X296" s="726"/>
      <c r="AB296" s="726"/>
      <c r="AF296" s="726"/>
      <c r="AG296" s="726"/>
      <c r="AK296" s="726"/>
    </row>
    <row r="297" spans="4:37" x14ac:dyDescent="0.3">
      <c r="D297" s="726"/>
      <c r="H297" s="726"/>
      <c r="L297" s="726"/>
      <c r="P297" s="726"/>
      <c r="T297" s="726"/>
      <c r="X297" s="726"/>
      <c r="AB297" s="726"/>
      <c r="AF297" s="726"/>
      <c r="AG297" s="726"/>
      <c r="AK297" s="726"/>
    </row>
    <row r="298" spans="4:37" x14ac:dyDescent="0.3">
      <c r="D298" s="726"/>
      <c r="H298" s="726"/>
      <c r="L298" s="726"/>
      <c r="P298" s="726"/>
      <c r="T298" s="726"/>
      <c r="X298" s="726"/>
      <c r="AB298" s="726"/>
      <c r="AF298" s="726"/>
      <c r="AG298" s="726"/>
      <c r="AK298" s="726"/>
    </row>
    <row r="299" spans="4:37" x14ac:dyDescent="0.3">
      <c r="D299" s="726"/>
      <c r="H299" s="726"/>
      <c r="L299" s="726"/>
      <c r="P299" s="726"/>
      <c r="T299" s="726"/>
      <c r="X299" s="726"/>
      <c r="AB299" s="726"/>
      <c r="AF299" s="726"/>
      <c r="AG299" s="726"/>
      <c r="AK299" s="726"/>
    </row>
    <row r="300" spans="4:37" x14ac:dyDescent="0.3">
      <c r="D300" s="726"/>
      <c r="H300" s="726"/>
      <c r="L300" s="726"/>
      <c r="P300" s="726"/>
      <c r="T300" s="726"/>
      <c r="X300" s="726"/>
      <c r="AB300" s="726"/>
      <c r="AF300" s="726"/>
      <c r="AG300" s="726"/>
      <c r="AK300" s="726"/>
    </row>
    <row r="301" spans="4:37" x14ac:dyDescent="0.3">
      <c r="D301" s="726"/>
      <c r="H301" s="726"/>
      <c r="L301" s="726"/>
      <c r="P301" s="726"/>
      <c r="T301" s="726"/>
      <c r="X301" s="726"/>
      <c r="AB301" s="726"/>
      <c r="AF301" s="726"/>
      <c r="AG301" s="726"/>
      <c r="AK301" s="726"/>
    </row>
    <row r="302" spans="4:37" x14ac:dyDescent="0.3">
      <c r="D302" s="726"/>
      <c r="H302" s="726"/>
      <c r="L302" s="726"/>
      <c r="P302" s="726"/>
      <c r="T302" s="726"/>
      <c r="X302" s="726"/>
      <c r="AB302" s="726"/>
      <c r="AF302" s="726"/>
      <c r="AG302" s="726"/>
      <c r="AK302" s="726"/>
    </row>
    <row r="303" spans="4:37" x14ac:dyDescent="0.3">
      <c r="D303" s="726"/>
      <c r="H303" s="726"/>
      <c r="L303" s="726"/>
      <c r="P303" s="726"/>
      <c r="T303" s="726"/>
      <c r="X303" s="726"/>
      <c r="AB303" s="726"/>
      <c r="AF303" s="726"/>
      <c r="AG303" s="726"/>
      <c r="AK303" s="726"/>
    </row>
    <row r="304" spans="4:37" x14ac:dyDescent="0.3">
      <c r="D304" s="726"/>
      <c r="H304" s="726"/>
      <c r="L304" s="726"/>
      <c r="P304" s="726"/>
      <c r="T304" s="726"/>
      <c r="X304" s="726"/>
      <c r="AB304" s="726"/>
      <c r="AF304" s="726"/>
      <c r="AG304" s="726"/>
      <c r="AK304" s="726"/>
    </row>
    <row r="305" spans="4:37" x14ac:dyDescent="0.3">
      <c r="D305" s="726"/>
      <c r="H305" s="726"/>
      <c r="L305" s="726"/>
      <c r="P305" s="726"/>
      <c r="T305" s="726"/>
      <c r="X305" s="726"/>
      <c r="AB305" s="726"/>
      <c r="AF305" s="726"/>
      <c r="AG305" s="726"/>
      <c r="AK305" s="726"/>
    </row>
    <row r="306" spans="4:37" x14ac:dyDescent="0.3">
      <c r="D306" s="726"/>
      <c r="H306" s="726"/>
      <c r="L306" s="726"/>
      <c r="P306" s="726"/>
      <c r="T306" s="726"/>
      <c r="X306" s="726"/>
      <c r="AB306" s="726"/>
      <c r="AF306" s="726"/>
      <c r="AG306" s="726"/>
      <c r="AK306" s="726"/>
    </row>
    <row r="307" spans="4:37" x14ac:dyDescent="0.3">
      <c r="D307" s="726"/>
      <c r="H307" s="726"/>
      <c r="L307" s="726"/>
      <c r="P307" s="726"/>
      <c r="T307" s="726"/>
      <c r="X307" s="726"/>
      <c r="AB307" s="726"/>
      <c r="AF307" s="726"/>
      <c r="AG307" s="726"/>
      <c r="AK307" s="726"/>
    </row>
    <row r="308" spans="4:37" x14ac:dyDescent="0.3">
      <c r="D308" s="726"/>
      <c r="H308" s="726"/>
      <c r="L308" s="726"/>
      <c r="P308" s="726"/>
      <c r="T308" s="726"/>
      <c r="X308" s="726"/>
      <c r="AB308" s="726"/>
      <c r="AF308" s="726"/>
      <c r="AG308" s="726"/>
      <c r="AK308" s="726"/>
    </row>
    <row r="309" spans="4:37" x14ac:dyDescent="0.3">
      <c r="D309" s="726"/>
      <c r="H309" s="726"/>
      <c r="L309" s="726"/>
      <c r="P309" s="726"/>
      <c r="T309" s="726"/>
      <c r="X309" s="726"/>
      <c r="AB309" s="726"/>
      <c r="AF309" s="726"/>
      <c r="AG309" s="726"/>
      <c r="AK309" s="726"/>
    </row>
    <row r="310" spans="4:37" x14ac:dyDescent="0.3">
      <c r="D310" s="726"/>
      <c r="H310" s="726"/>
      <c r="L310" s="726"/>
      <c r="P310" s="726"/>
      <c r="T310" s="726"/>
      <c r="X310" s="726"/>
      <c r="AB310" s="726"/>
      <c r="AF310" s="726"/>
      <c r="AG310" s="726"/>
      <c r="AK310" s="726"/>
    </row>
    <row r="311" spans="4:37" x14ac:dyDescent="0.3">
      <c r="D311" s="726"/>
      <c r="H311" s="726"/>
      <c r="L311" s="726"/>
      <c r="P311" s="726"/>
      <c r="T311" s="726"/>
      <c r="X311" s="726"/>
      <c r="AB311" s="726"/>
      <c r="AF311" s="726"/>
      <c r="AG311" s="726"/>
      <c r="AK311" s="726"/>
    </row>
    <row r="312" spans="4:37" x14ac:dyDescent="0.3">
      <c r="D312" s="726"/>
      <c r="H312" s="726"/>
      <c r="L312" s="726"/>
      <c r="P312" s="726"/>
      <c r="T312" s="726"/>
      <c r="X312" s="726"/>
      <c r="AB312" s="726"/>
      <c r="AF312" s="726"/>
      <c r="AG312" s="726"/>
      <c r="AK312" s="726"/>
    </row>
    <row r="313" spans="4:37" x14ac:dyDescent="0.3">
      <c r="D313" s="726"/>
      <c r="H313" s="726"/>
      <c r="L313" s="726"/>
      <c r="P313" s="726"/>
      <c r="T313" s="726"/>
      <c r="X313" s="726"/>
      <c r="AB313" s="726"/>
      <c r="AF313" s="726"/>
      <c r="AG313" s="726"/>
      <c r="AK313" s="726"/>
    </row>
    <row r="314" spans="4:37" x14ac:dyDescent="0.3">
      <c r="D314" s="726"/>
      <c r="H314" s="726"/>
      <c r="L314" s="726"/>
      <c r="P314" s="726"/>
      <c r="T314" s="726"/>
      <c r="X314" s="726"/>
      <c r="AB314" s="726"/>
      <c r="AF314" s="726"/>
      <c r="AG314" s="726"/>
      <c r="AK314" s="726"/>
    </row>
    <row r="315" spans="4:37" x14ac:dyDescent="0.3">
      <c r="D315" s="726"/>
      <c r="H315" s="726"/>
      <c r="L315" s="726"/>
      <c r="P315" s="726"/>
      <c r="T315" s="726"/>
      <c r="X315" s="726"/>
      <c r="AB315" s="726"/>
      <c r="AF315" s="726"/>
      <c r="AG315" s="726"/>
      <c r="AK315" s="726"/>
    </row>
    <row r="316" spans="4:37" x14ac:dyDescent="0.3">
      <c r="D316" s="726"/>
      <c r="H316" s="726"/>
      <c r="L316" s="726"/>
      <c r="P316" s="726"/>
      <c r="T316" s="726"/>
      <c r="X316" s="726"/>
      <c r="AB316" s="726"/>
      <c r="AF316" s="726"/>
      <c r="AG316" s="726"/>
      <c r="AK316" s="726"/>
    </row>
    <row r="317" spans="4:37" x14ac:dyDescent="0.3">
      <c r="D317" s="726"/>
      <c r="H317" s="726"/>
      <c r="L317" s="726"/>
      <c r="P317" s="726"/>
      <c r="T317" s="726"/>
      <c r="X317" s="726"/>
      <c r="AB317" s="726"/>
      <c r="AF317" s="726"/>
      <c r="AG317" s="726"/>
      <c r="AK317" s="726"/>
    </row>
    <row r="318" spans="4:37" x14ac:dyDescent="0.3">
      <c r="D318" s="726"/>
      <c r="H318" s="726"/>
      <c r="L318" s="726"/>
      <c r="P318" s="726"/>
      <c r="T318" s="726"/>
      <c r="X318" s="726"/>
      <c r="AB318" s="726"/>
      <c r="AF318" s="726"/>
      <c r="AG318" s="726"/>
      <c r="AK318" s="726"/>
    </row>
    <row r="319" spans="4:37" x14ac:dyDescent="0.3">
      <c r="D319" s="726"/>
      <c r="H319" s="726"/>
      <c r="L319" s="726"/>
      <c r="P319" s="726"/>
      <c r="T319" s="726"/>
      <c r="X319" s="726"/>
      <c r="AB319" s="726"/>
      <c r="AF319" s="726"/>
      <c r="AG319" s="726"/>
      <c r="AK319" s="726"/>
    </row>
    <row r="320" spans="4:37" x14ac:dyDescent="0.3">
      <c r="D320" s="726"/>
      <c r="H320" s="726"/>
      <c r="L320" s="726"/>
      <c r="P320" s="726"/>
      <c r="T320" s="726"/>
      <c r="X320" s="726"/>
      <c r="AB320" s="726"/>
      <c r="AF320" s="726"/>
      <c r="AG320" s="726"/>
      <c r="AK320" s="726"/>
    </row>
    <row r="321" spans="4:37" x14ac:dyDescent="0.3">
      <c r="D321" s="726"/>
      <c r="H321" s="726"/>
      <c r="L321" s="726"/>
      <c r="P321" s="726"/>
      <c r="T321" s="726"/>
      <c r="X321" s="726"/>
      <c r="AB321" s="726"/>
      <c r="AF321" s="726"/>
      <c r="AG321" s="726"/>
      <c r="AK321" s="726"/>
    </row>
    <row r="322" spans="4:37" x14ac:dyDescent="0.3">
      <c r="D322" s="726"/>
      <c r="H322" s="726"/>
      <c r="L322" s="726"/>
      <c r="P322" s="726"/>
      <c r="T322" s="726"/>
      <c r="X322" s="726"/>
      <c r="AB322" s="726"/>
      <c r="AF322" s="726"/>
      <c r="AG322" s="726"/>
      <c r="AK322" s="726"/>
    </row>
    <row r="323" spans="4:37" x14ac:dyDescent="0.3">
      <c r="D323" s="726"/>
      <c r="H323" s="726"/>
      <c r="L323" s="726"/>
      <c r="P323" s="726"/>
      <c r="T323" s="726"/>
      <c r="X323" s="726"/>
      <c r="AB323" s="726"/>
      <c r="AF323" s="726"/>
      <c r="AG323" s="726"/>
      <c r="AK323" s="726"/>
    </row>
    <row r="324" spans="4:37" x14ac:dyDescent="0.3">
      <c r="D324" s="726"/>
      <c r="H324" s="726"/>
      <c r="L324" s="726"/>
      <c r="P324" s="726"/>
      <c r="T324" s="726"/>
      <c r="X324" s="726"/>
      <c r="AB324" s="726"/>
      <c r="AF324" s="726"/>
      <c r="AG324" s="726"/>
      <c r="AK324" s="726"/>
    </row>
    <row r="325" spans="4:37" x14ac:dyDescent="0.3">
      <c r="D325" s="726"/>
      <c r="H325" s="726"/>
      <c r="L325" s="726"/>
      <c r="P325" s="726"/>
      <c r="T325" s="726"/>
      <c r="X325" s="726"/>
      <c r="AB325" s="726"/>
      <c r="AF325" s="726"/>
      <c r="AG325" s="726"/>
      <c r="AK325" s="726"/>
    </row>
    <row r="326" spans="4:37" x14ac:dyDescent="0.3">
      <c r="D326" s="726"/>
      <c r="H326" s="726"/>
      <c r="L326" s="726"/>
      <c r="P326" s="726"/>
      <c r="T326" s="726"/>
      <c r="X326" s="726"/>
      <c r="AB326" s="726"/>
      <c r="AF326" s="726"/>
      <c r="AG326" s="726"/>
      <c r="AK326" s="726"/>
    </row>
    <row r="327" spans="4:37" x14ac:dyDescent="0.3">
      <c r="D327" s="726"/>
      <c r="H327" s="726"/>
      <c r="L327" s="726"/>
      <c r="P327" s="726"/>
      <c r="T327" s="726"/>
      <c r="X327" s="726"/>
      <c r="AB327" s="726"/>
      <c r="AF327" s="726"/>
      <c r="AG327" s="726"/>
      <c r="AK327" s="726"/>
    </row>
    <row r="328" spans="4:37" x14ac:dyDescent="0.3">
      <c r="D328" s="726"/>
      <c r="H328" s="726"/>
      <c r="L328" s="726"/>
      <c r="P328" s="726"/>
      <c r="T328" s="726"/>
      <c r="X328" s="726"/>
      <c r="AB328" s="726"/>
      <c r="AF328" s="726"/>
      <c r="AG328" s="726"/>
      <c r="AK328" s="726"/>
    </row>
    <row r="329" spans="4:37" x14ac:dyDescent="0.3">
      <c r="D329" s="726"/>
      <c r="H329" s="726"/>
      <c r="L329" s="726"/>
      <c r="P329" s="726"/>
      <c r="T329" s="726"/>
      <c r="X329" s="726"/>
      <c r="AB329" s="726"/>
      <c r="AF329" s="726"/>
      <c r="AG329" s="726"/>
      <c r="AK329" s="726"/>
    </row>
    <row r="330" spans="4:37" x14ac:dyDescent="0.3">
      <c r="D330" s="726"/>
      <c r="H330" s="726"/>
      <c r="L330" s="726"/>
      <c r="P330" s="726"/>
      <c r="T330" s="726"/>
      <c r="X330" s="726"/>
      <c r="AB330" s="726"/>
      <c r="AF330" s="726"/>
      <c r="AG330" s="726"/>
      <c r="AK330" s="726"/>
    </row>
    <row r="331" spans="4:37" x14ac:dyDescent="0.3">
      <c r="D331" s="726"/>
      <c r="H331" s="726"/>
      <c r="L331" s="726"/>
      <c r="P331" s="726"/>
      <c r="T331" s="726"/>
      <c r="X331" s="726"/>
      <c r="AB331" s="726"/>
      <c r="AF331" s="726"/>
      <c r="AG331" s="726"/>
      <c r="AK331" s="726"/>
    </row>
    <row r="332" spans="4:37" x14ac:dyDescent="0.3">
      <c r="D332" s="726"/>
      <c r="H332" s="726"/>
      <c r="L332" s="726"/>
      <c r="P332" s="726"/>
      <c r="T332" s="726"/>
      <c r="X332" s="726"/>
      <c r="AB332" s="726"/>
      <c r="AF332" s="726"/>
      <c r="AG332" s="726"/>
      <c r="AK332" s="726"/>
    </row>
    <row r="333" spans="4:37" x14ac:dyDescent="0.3">
      <c r="D333" s="726"/>
      <c r="H333" s="726"/>
      <c r="L333" s="726"/>
      <c r="P333" s="726"/>
      <c r="T333" s="726"/>
      <c r="X333" s="726"/>
      <c r="AB333" s="726"/>
      <c r="AF333" s="726"/>
      <c r="AG333" s="726"/>
      <c r="AK333" s="726"/>
    </row>
    <row r="334" spans="4:37" x14ac:dyDescent="0.3">
      <c r="D334" s="726"/>
      <c r="H334" s="726"/>
      <c r="L334" s="726"/>
      <c r="P334" s="726"/>
      <c r="T334" s="726"/>
      <c r="X334" s="726"/>
      <c r="AB334" s="726"/>
      <c r="AF334" s="726"/>
      <c r="AG334" s="726"/>
      <c r="AK334" s="726"/>
    </row>
    <row r="335" spans="4:37" x14ac:dyDescent="0.3">
      <c r="D335" s="726"/>
      <c r="H335" s="726"/>
      <c r="L335" s="726"/>
      <c r="P335" s="726"/>
      <c r="T335" s="726"/>
      <c r="X335" s="726"/>
      <c r="AB335" s="726"/>
      <c r="AF335" s="726"/>
      <c r="AG335" s="726"/>
      <c r="AK335" s="726"/>
    </row>
    <row r="336" spans="4:37" x14ac:dyDescent="0.3">
      <c r="D336" s="726"/>
      <c r="H336" s="726"/>
      <c r="L336" s="726"/>
      <c r="P336" s="726"/>
      <c r="T336" s="726"/>
      <c r="X336" s="726"/>
      <c r="AB336" s="726"/>
      <c r="AF336" s="726"/>
      <c r="AG336" s="726"/>
      <c r="AK336" s="726"/>
    </row>
    <row r="337" spans="4:37" x14ac:dyDescent="0.3">
      <c r="D337" s="726"/>
      <c r="H337" s="726"/>
      <c r="L337" s="726"/>
      <c r="P337" s="726"/>
      <c r="T337" s="726"/>
      <c r="X337" s="726"/>
      <c r="AB337" s="726"/>
      <c r="AF337" s="726"/>
      <c r="AG337" s="726"/>
      <c r="AK337" s="726"/>
    </row>
    <row r="338" spans="4:37" x14ac:dyDescent="0.3">
      <c r="D338" s="726"/>
      <c r="H338" s="726"/>
      <c r="L338" s="726"/>
      <c r="P338" s="726"/>
      <c r="T338" s="726"/>
      <c r="X338" s="726"/>
      <c r="AB338" s="726"/>
      <c r="AF338" s="726"/>
      <c r="AG338" s="726"/>
      <c r="AK338" s="726"/>
    </row>
    <row r="339" spans="4:37" x14ac:dyDescent="0.3">
      <c r="D339" s="726"/>
      <c r="H339" s="726"/>
      <c r="L339" s="726"/>
      <c r="P339" s="726"/>
      <c r="T339" s="726"/>
      <c r="X339" s="726"/>
      <c r="AB339" s="726"/>
      <c r="AF339" s="726"/>
      <c r="AG339" s="726"/>
      <c r="AK339" s="726"/>
    </row>
    <row r="340" spans="4:37" x14ac:dyDescent="0.3">
      <c r="D340" s="726"/>
      <c r="H340" s="726"/>
      <c r="L340" s="726"/>
      <c r="P340" s="726"/>
      <c r="T340" s="726"/>
      <c r="X340" s="726"/>
      <c r="AB340" s="726"/>
      <c r="AF340" s="726"/>
      <c r="AG340" s="726"/>
      <c r="AK340" s="726"/>
    </row>
    <row r="341" spans="4:37" x14ac:dyDescent="0.3">
      <c r="D341" s="726"/>
      <c r="H341" s="726"/>
      <c r="L341" s="726"/>
      <c r="P341" s="726"/>
      <c r="T341" s="726"/>
      <c r="X341" s="726"/>
      <c r="AB341" s="726"/>
      <c r="AF341" s="726"/>
      <c r="AG341" s="726"/>
      <c r="AK341" s="726"/>
    </row>
    <row r="342" spans="4:37" x14ac:dyDescent="0.3">
      <c r="D342" s="726"/>
      <c r="H342" s="726"/>
      <c r="L342" s="726"/>
      <c r="P342" s="726"/>
      <c r="T342" s="726"/>
      <c r="X342" s="726"/>
      <c r="AB342" s="726"/>
      <c r="AF342" s="726"/>
      <c r="AG342" s="726"/>
      <c r="AK342" s="726"/>
    </row>
    <row r="343" spans="4:37" x14ac:dyDescent="0.3">
      <c r="D343" s="726"/>
      <c r="H343" s="726"/>
      <c r="L343" s="726"/>
      <c r="P343" s="726"/>
      <c r="T343" s="726"/>
      <c r="X343" s="726"/>
      <c r="AB343" s="726"/>
      <c r="AF343" s="726"/>
      <c r="AG343" s="726"/>
      <c r="AK343" s="726"/>
    </row>
    <row r="344" spans="4:37" x14ac:dyDescent="0.3">
      <c r="D344" s="726"/>
      <c r="H344" s="726"/>
      <c r="L344" s="726"/>
      <c r="P344" s="726"/>
      <c r="T344" s="726"/>
      <c r="X344" s="726"/>
      <c r="AB344" s="726"/>
      <c r="AF344" s="726"/>
      <c r="AG344" s="726"/>
      <c r="AK344" s="726"/>
    </row>
    <row r="345" spans="4:37" x14ac:dyDescent="0.3">
      <c r="D345" s="726"/>
      <c r="H345" s="726"/>
      <c r="L345" s="726"/>
      <c r="P345" s="726"/>
      <c r="T345" s="726"/>
      <c r="X345" s="726"/>
      <c r="AB345" s="726"/>
      <c r="AF345" s="726"/>
      <c r="AG345" s="726"/>
      <c r="AK345" s="726"/>
    </row>
    <row r="346" spans="4:37" x14ac:dyDescent="0.3">
      <c r="D346" s="726"/>
      <c r="H346" s="726"/>
      <c r="L346" s="726"/>
      <c r="P346" s="726"/>
      <c r="T346" s="726"/>
      <c r="X346" s="726"/>
      <c r="AB346" s="726"/>
      <c r="AF346" s="726"/>
      <c r="AG346" s="726"/>
      <c r="AK346" s="726"/>
    </row>
    <row r="347" spans="4:37" x14ac:dyDescent="0.3">
      <c r="D347" s="726"/>
      <c r="H347" s="726"/>
      <c r="L347" s="726"/>
      <c r="P347" s="726"/>
      <c r="T347" s="726"/>
      <c r="X347" s="726"/>
      <c r="AB347" s="726"/>
      <c r="AF347" s="726"/>
      <c r="AG347" s="726"/>
      <c r="AK347" s="726"/>
    </row>
    <row r="348" spans="4:37" x14ac:dyDescent="0.3">
      <c r="D348" s="726"/>
      <c r="H348" s="726"/>
      <c r="L348" s="726"/>
      <c r="P348" s="726"/>
      <c r="T348" s="726"/>
      <c r="X348" s="726"/>
      <c r="AB348" s="726"/>
      <c r="AF348" s="726"/>
      <c r="AG348" s="726"/>
      <c r="AK348" s="726"/>
    </row>
    <row r="349" spans="4:37" x14ac:dyDescent="0.3">
      <c r="D349" s="726"/>
      <c r="H349" s="726"/>
      <c r="L349" s="726"/>
      <c r="P349" s="726"/>
      <c r="T349" s="726"/>
      <c r="X349" s="726"/>
      <c r="AB349" s="726"/>
      <c r="AF349" s="726"/>
      <c r="AG349" s="726"/>
      <c r="AK349" s="726"/>
    </row>
    <row r="350" spans="4:37" x14ac:dyDescent="0.3">
      <c r="D350" s="726"/>
      <c r="H350" s="726"/>
      <c r="L350" s="726"/>
      <c r="P350" s="726"/>
      <c r="T350" s="726"/>
      <c r="X350" s="726"/>
      <c r="AB350" s="726"/>
      <c r="AF350" s="726"/>
      <c r="AG350" s="726"/>
      <c r="AK350" s="726"/>
    </row>
    <row r="351" spans="4:37" x14ac:dyDescent="0.3">
      <c r="D351" s="726"/>
      <c r="H351" s="726"/>
      <c r="L351" s="726"/>
      <c r="P351" s="726"/>
      <c r="T351" s="726"/>
      <c r="X351" s="726"/>
      <c r="AB351" s="726"/>
      <c r="AF351" s="726"/>
      <c r="AG351" s="726"/>
      <c r="AK351" s="726"/>
    </row>
    <row r="352" spans="4:37" x14ac:dyDescent="0.3">
      <c r="D352" s="726"/>
      <c r="H352" s="726"/>
      <c r="L352" s="726"/>
      <c r="P352" s="726"/>
      <c r="T352" s="726"/>
      <c r="X352" s="726"/>
      <c r="AB352" s="726"/>
      <c r="AF352" s="726"/>
      <c r="AG352" s="726"/>
      <c r="AK352" s="726"/>
    </row>
    <row r="353" spans="4:37" x14ac:dyDescent="0.3">
      <c r="D353" s="726"/>
      <c r="H353" s="726"/>
      <c r="L353" s="726"/>
      <c r="P353" s="726"/>
      <c r="T353" s="726"/>
      <c r="X353" s="726"/>
      <c r="AB353" s="726"/>
      <c r="AF353" s="726"/>
      <c r="AG353" s="726"/>
      <c r="AK353" s="726"/>
    </row>
    <row r="354" spans="4:37" x14ac:dyDescent="0.3">
      <c r="D354" s="726"/>
      <c r="H354" s="726"/>
      <c r="L354" s="726"/>
      <c r="P354" s="726"/>
      <c r="T354" s="726"/>
      <c r="X354" s="726"/>
      <c r="AB354" s="726"/>
      <c r="AF354" s="726"/>
      <c r="AG354" s="726"/>
      <c r="AK354" s="726"/>
    </row>
    <row r="355" spans="4:37" x14ac:dyDescent="0.3">
      <c r="D355" s="726"/>
      <c r="H355" s="726"/>
      <c r="L355" s="726"/>
      <c r="P355" s="726"/>
      <c r="T355" s="726"/>
      <c r="X355" s="726"/>
      <c r="AB355" s="726"/>
      <c r="AF355" s="726"/>
      <c r="AG355" s="726"/>
      <c r="AK355" s="726"/>
    </row>
    <row r="356" spans="4:37" x14ac:dyDescent="0.3">
      <c r="D356" s="726"/>
      <c r="H356" s="726"/>
      <c r="L356" s="726"/>
      <c r="P356" s="726"/>
      <c r="T356" s="726"/>
      <c r="X356" s="726"/>
      <c r="AB356" s="726"/>
      <c r="AF356" s="726"/>
      <c r="AG356" s="726"/>
      <c r="AK356" s="726"/>
    </row>
    <row r="357" spans="4:37" x14ac:dyDescent="0.3">
      <c r="D357" s="726"/>
      <c r="H357" s="726"/>
      <c r="L357" s="726"/>
      <c r="P357" s="726"/>
      <c r="T357" s="726"/>
      <c r="X357" s="726"/>
      <c r="AB357" s="726"/>
      <c r="AF357" s="726"/>
      <c r="AG357" s="726"/>
      <c r="AK357" s="726"/>
    </row>
    <row r="358" spans="4:37" x14ac:dyDescent="0.3">
      <c r="D358" s="726"/>
      <c r="H358" s="726"/>
      <c r="L358" s="726"/>
      <c r="P358" s="726"/>
      <c r="T358" s="726"/>
      <c r="X358" s="726"/>
      <c r="AB358" s="726"/>
      <c r="AF358" s="726"/>
      <c r="AG358" s="726"/>
      <c r="AK358" s="726"/>
    </row>
    <row r="359" spans="4:37" x14ac:dyDescent="0.3">
      <c r="D359" s="726"/>
      <c r="H359" s="726"/>
      <c r="L359" s="726"/>
      <c r="P359" s="726"/>
      <c r="T359" s="726"/>
      <c r="X359" s="726"/>
      <c r="AB359" s="726"/>
      <c r="AF359" s="726"/>
      <c r="AG359" s="726"/>
      <c r="AK359" s="726"/>
    </row>
    <row r="360" spans="4:37" x14ac:dyDescent="0.3">
      <c r="D360" s="726"/>
      <c r="H360" s="726"/>
      <c r="L360" s="726"/>
      <c r="P360" s="726"/>
      <c r="T360" s="726"/>
      <c r="X360" s="726"/>
      <c r="AB360" s="726"/>
      <c r="AF360" s="726"/>
      <c r="AG360" s="726"/>
      <c r="AK360" s="726"/>
    </row>
    <row r="361" spans="4:37" x14ac:dyDescent="0.3">
      <c r="D361" s="726"/>
      <c r="H361" s="726"/>
      <c r="L361" s="726"/>
      <c r="P361" s="726"/>
      <c r="T361" s="726"/>
      <c r="X361" s="726"/>
      <c r="AB361" s="726"/>
      <c r="AF361" s="726"/>
      <c r="AG361" s="726"/>
      <c r="AK361" s="726"/>
    </row>
    <row r="362" spans="4:37" x14ac:dyDescent="0.3">
      <c r="D362" s="726"/>
      <c r="H362" s="726"/>
      <c r="L362" s="726"/>
      <c r="P362" s="726"/>
      <c r="T362" s="726"/>
      <c r="X362" s="726"/>
      <c r="AB362" s="726"/>
      <c r="AF362" s="726"/>
      <c r="AG362" s="726"/>
      <c r="AK362" s="726"/>
    </row>
    <row r="363" spans="4:37" x14ac:dyDescent="0.3">
      <c r="D363" s="726"/>
      <c r="H363" s="726"/>
      <c r="L363" s="726"/>
      <c r="P363" s="726"/>
      <c r="T363" s="726"/>
      <c r="X363" s="726"/>
      <c r="AB363" s="726"/>
      <c r="AF363" s="726"/>
      <c r="AG363" s="726"/>
      <c r="AK363" s="726"/>
    </row>
    <row r="364" spans="4:37" x14ac:dyDescent="0.3">
      <c r="D364" s="726"/>
      <c r="H364" s="726"/>
      <c r="L364" s="726"/>
      <c r="P364" s="726"/>
      <c r="T364" s="726"/>
      <c r="X364" s="726"/>
      <c r="AB364" s="726"/>
      <c r="AF364" s="726"/>
      <c r="AG364" s="726"/>
      <c r="AK364" s="726"/>
    </row>
    <row r="365" spans="4:37" x14ac:dyDescent="0.3">
      <c r="D365" s="726"/>
      <c r="H365" s="726"/>
      <c r="L365" s="726"/>
      <c r="P365" s="726"/>
      <c r="T365" s="726"/>
      <c r="X365" s="726"/>
      <c r="AB365" s="726"/>
      <c r="AF365" s="726"/>
      <c r="AG365" s="726"/>
      <c r="AK365" s="726"/>
    </row>
    <row r="366" spans="4:37" x14ac:dyDescent="0.3">
      <c r="D366" s="726"/>
      <c r="H366" s="726"/>
      <c r="L366" s="726"/>
      <c r="P366" s="726"/>
      <c r="T366" s="726"/>
      <c r="X366" s="726"/>
      <c r="AB366" s="726"/>
      <c r="AF366" s="726"/>
      <c r="AG366" s="726"/>
      <c r="AK366" s="726"/>
    </row>
    <row r="367" spans="4:37" x14ac:dyDescent="0.3">
      <c r="D367" s="726"/>
      <c r="H367" s="726"/>
      <c r="L367" s="726"/>
      <c r="P367" s="726"/>
      <c r="T367" s="726"/>
      <c r="X367" s="726"/>
      <c r="AB367" s="726"/>
      <c r="AF367" s="726"/>
      <c r="AG367" s="726"/>
      <c r="AK367" s="726"/>
    </row>
    <row r="368" spans="4:37" x14ac:dyDescent="0.3">
      <c r="D368" s="726"/>
      <c r="H368" s="726"/>
      <c r="L368" s="726"/>
      <c r="P368" s="726"/>
      <c r="T368" s="726"/>
      <c r="X368" s="726"/>
      <c r="AB368" s="726"/>
      <c r="AF368" s="726"/>
      <c r="AG368" s="726"/>
      <c r="AK368" s="726"/>
    </row>
    <row r="369" spans="4:37" x14ac:dyDescent="0.3">
      <c r="D369" s="726"/>
      <c r="H369" s="726"/>
      <c r="L369" s="726"/>
      <c r="P369" s="726"/>
      <c r="T369" s="726"/>
      <c r="X369" s="726"/>
      <c r="AB369" s="726"/>
      <c r="AF369" s="726"/>
      <c r="AG369" s="726"/>
      <c r="AK369" s="726"/>
    </row>
    <row r="370" spans="4:37" x14ac:dyDescent="0.3">
      <c r="D370" s="726"/>
      <c r="H370" s="726"/>
      <c r="L370" s="726"/>
      <c r="P370" s="726"/>
      <c r="T370" s="726"/>
      <c r="X370" s="726"/>
      <c r="AB370" s="726"/>
      <c r="AF370" s="726"/>
      <c r="AG370" s="726"/>
      <c r="AK370" s="726"/>
    </row>
  </sheetData>
  <sheetProtection password="CC2B" sheet="1" objects="1" scenarios="1"/>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3" fitToHeight="0" orientation="landscape" r:id="rId1"/>
  <headerFooter alignWithMargins="0">
    <oddHeader>&amp;C&amp;"-,Bold"Proposed Budget &amp; Analysis Report for FY20</oddHeader>
    <oddFooter>&amp;C&amp;D&amp;T&amp;R&amp;A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3:AR371"/>
  <sheetViews>
    <sheetView zoomScaleNormal="100" zoomScaleSheetLayoutView="100" workbookViewId="0">
      <selection activeCell="C15" sqref="C15"/>
    </sheetView>
  </sheetViews>
  <sheetFormatPr defaultRowHeight="16.5" x14ac:dyDescent="0.3"/>
  <cols>
    <col min="1" max="1" width="19" style="698" customWidth="1"/>
    <col min="2" max="2" width="6.140625" style="698" customWidth="1"/>
    <col min="3" max="3" width="40.85546875" style="698" customWidth="1"/>
    <col min="4" max="4" width="13.28515625" style="698" hidden="1" customWidth="1"/>
    <col min="5" max="5" width="11.42578125" style="698" hidden="1" customWidth="1"/>
    <col min="6" max="6" width="8.28515625" style="698" hidden="1" customWidth="1"/>
    <col min="7" max="7" width="1.5703125" style="692" hidden="1" customWidth="1"/>
    <col min="8" max="8" width="13.28515625" style="698" hidden="1" customWidth="1"/>
    <col min="9" max="9" width="11.42578125" style="698" hidden="1" customWidth="1"/>
    <col min="10" max="10" width="8.28515625" style="698" hidden="1" customWidth="1"/>
    <col min="11" max="11" width="1.5703125" style="692" hidden="1" customWidth="1"/>
    <col min="12" max="12" width="13.28515625" style="698" hidden="1" customWidth="1"/>
    <col min="13" max="13" width="11.42578125" style="698" hidden="1" customWidth="1"/>
    <col min="14" max="14" width="8.28515625" style="698" hidden="1" customWidth="1"/>
    <col min="15" max="15" width="1.5703125" style="692" hidden="1" customWidth="1"/>
    <col min="16" max="16" width="13.28515625" style="698" hidden="1" customWidth="1"/>
    <col min="17" max="17" width="11.42578125" style="698" hidden="1" customWidth="1"/>
    <col min="18" max="18" width="8.28515625" style="698" hidden="1" customWidth="1"/>
    <col min="19" max="19" width="1.5703125" style="692" hidden="1" customWidth="1"/>
    <col min="20" max="20" width="13.28515625" style="698" hidden="1" customWidth="1"/>
    <col min="21" max="21" width="11.42578125" style="698" hidden="1" customWidth="1"/>
    <col min="22" max="22" width="8.28515625" style="698" hidden="1" customWidth="1"/>
    <col min="23" max="23" width="1.5703125" style="692" hidden="1" customWidth="1"/>
    <col min="24" max="24" width="11.5703125" style="698" hidden="1" customWidth="1"/>
    <col min="25" max="25" width="11.7109375" style="698" hidden="1" customWidth="1"/>
    <col min="26" max="26" width="9.85546875" style="698" hidden="1" customWidth="1"/>
    <col min="27" max="27" width="1.5703125" style="692" hidden="1" customWidth="1"/>
    <col min="28" max="28" width="14.28515625" style="698" customWidth="1"/>
    <col min="29" max="29" width="13.42578125" style="698" customWidth="1"/>
    <col min="30" max="30" width="9.85546875" style="698" customWidth="1"/>
    <col min="31" max="31" width="3" style="692" customWidth="1"/>
    <col min="32" max="32" width="11.5703125" style="698" hidden="1" customWidth="1"/>
    <col min="33" max="33" width="13.85546875" style="698" customWidth="1"/>
    <col min="34" max="34" width="13.5703125" style="698" customWidth="1"/>
    <col min="35" max="35" width="9.85546875" style="698" customWidth="1"/>
    <col min="36" max="36" width="3.85546875" style="698" customWidth="1"/>
    <col min="37" max="37" width="13.42578125" style="698" customWidth="1"/>
    <col min="38" max="38" width="13.7109375" style="698" customWidth="1"/>
    <col min="39" max="39" width="9.85546875" style="698" customWidth="1"/>
    <col min="40" max="40" width="1.85546875" style="698" customWidth="1"/>
    <col min="41" max="41" width="13.5703125" style="704" customWidth="1"/>
    <col min="42" max="42" width="12.28515625" style="704" bestFit="1" customWidth="1"/>
    <col min="43" max="43" width="14.85546875" style="698" customWidth="1"/>
    <col min="44" max="44" width="28.28515625" style="698" customWidth="1"/>
    <col min="45" max="16384" width="9.140625" style="698"/>
  </cols>
  <sheetData>
    <row r="3" spans="1:44" s="686" customFormat="1" ht="14.25" x14ac:dyDescent="0.2">
      <c r="D3" s="798" t="s">
        <v>1366</v>
      </c>
      <c r="E3" s="799"/>
      <c r="F3" s="800"/>
      <c r="G3" s="687"/>
      <c r="H3" s="798" t="s">
        <v>1365</v>
      </c>
      <c r="I3" s="799"/>
      <c r="J3" s="800"/>
      <c r="K3" s="687"/>
      <c r="L3" s="798" t="s">
        <v>1364</v>
      </c>
      <c r="M3" s="799"/>
      <c r="N3" s="800"/>
      <c r="O3" s="687"/>
      <c r="P3" s="798" t="s">
        <v>110</v>
      </c>
      <c r="Q3" s="799"/>
      <c r="R3" s="800"/>
      <c r="S3" s="687"/>
      <c r="T3" s="798" t="s">
        <v>271</v>
      </c>
      <c r="U3" s="799"/>
      <c r="V3" s="800"/>
      <c r="W3" s="687"/>
      <c r="X3" s="798" t="s">
        <v>980</v>
      </c>
      <c r="Y3" s="799"/>
      <c r="Z3" s="800"/>
      <c r="AA3" s="687"/>
      <c r="AB3" s="798" t="s">
        <v>1124</v>
      </c>
      <c r="AC3" s="799"/>
      <c r="AD3" s="800"/>
      <c r="AE3" s="687"/>
      <c r="AF3" s="798" t="s">
        <v>1363</v>
      </c>
      <c r="AG3" s="799"/>
      <c r="AH3" s="799"/>
      <c r="AI3" s="800"/>
      <c r="AJ3" s="688"/>
      <c r="AK3" s="798" t="s">
        <v>1592</v>
      </c>
      <c r="AL3" s="799"/>
      <c r="AM3" s="800"/>
      <c r="AN3" s="688"/>
      <c r="AO3" s="801" t="s">
        <v>1593</v>
      </c>
      <c r="AP3" s="801"/>
      <c r="AQ3" s="801"/>
      <c r="AR3" s="801"/>
    </row>
    <row r="4" spans="1:44" ht="42" customHeight="1" x14ac:dyDescent="0.3">
      <c r="A4" s="689" t="s">
        <v>272</v>
      </c>
      <c r="B4" s="689"/>
      <c r="C4" s="690" t="s">
        <v>1608</v>
      </c>
      <c r="D4" s="691" t="s">
        <v>98</v>
      </c>
      <c r="E4" s="691" t="s">
        <v>27</v>
      </c>
      <c r="F4" s="691" t="s">
        <v>282</v>
      </c>
      <c r="H4" s="691" t="s">
        <v>98</v>
      </c>
      <c r="I4" s="691" t="s">
        <v>27</v>
      </c>
      <c r="J4" s="691" t="s">
        <v>282</v>
      </c>
      <c r="L4" s="691" t="s">
        <v>98</v>
      </c>
      <c r="M4" s="691" t="s">
        <v>27</v>
      </c>
      <c r="N4" s="691" t="s">
        <v>282</v>
      </c>
      <c r="P4" s="691" t="s">
        <v>98</v>
      </c>
      <c r="Q4" s="691" t="s">
        <v>27</v>
      </c>
      <c r="R4" s="691" t="s">
        <v>282</v>
      </c>
      <c r="T4" s="691" t="s">
        <v>98</v>
      </c>
      <c r="U4" s="691" t="s">
        <v>27</v>
      </c>
      <c r="V4" s="691" t="s">
        <v>282</v>
      </c>
      <c r="X4" s="691" t="s">
        <v>98</v>
      </c>
      <c r="Y4" s="691" t="s">
        <v>27</v>
      </c>
      <c r="Z4" s="691" t="s">
        <v>282</v>
      </c>
      <c r="AB4" s="691" t="s">
        <v>98</v>
      </c>
      <c r="AC4" s="691" t="s">
        <v>27</v>
      </c>
      <c r="AD4" s="691" t="s">
        <v>282</v>
      </c>
      <c r="AF4" s="691" t="s">
        <v>98</v>
      </c>
      <c r="AG4" s="693" t="s">
        <v>1369</v>
      </c>
      <c r="AH4" s="691" t="s">
        <v>27</v>
      </c>
      <c r="AI4" s="691" t="s">
        <v>282</v>
      </c>
      <c r="AJ4" s="691"/>
      <c r="AK4" s="691" t="s">
        <v>98</v>
      </c>
      <c r="AL4" s="694" t="s">
        <v>1714</v>
      </c>
      <c r="AM4" s="691" t="s">
        <v>282</v>
      </c>
      <c r="AN4" s="691"/>
      <c r="AO4" s="695" t="s">
        <v>274</v>
      </c>
      <c r="AP4" s="696" t="s">
        <v>107</v>
      </c>
      <c r="AQ4" s="696" t="s">
        <v>282</v>
      </c>
      <c r="AR4" s="697" t="s">
        <v>275</v>
      </c>
    </row>
    <row r="5" spans="1:44" x14ac:dyDescent="0.3">
      <c r="C5" s="686" t="s">
        <v>276</v>
      </c>
      <c r="AO5" s="692"/>
      <c r="AP5" s="692"/>
      <c r="AR5" s="686"/>
    </row>
    <row r="6" spans="1:44" x14ac:dyDescent="0.3">
      <c r="A6" s="698" t="s">
        <v>283</v>
      </c>
      <c r="B6" s="699" t="s">
        <v>284</v>
      </c>
      <c r="C6" s="698" t="s">
        <v>1340</v>
      </c>
      <c r="D6" s="700">
        <v>4500</v>
      </c>
      <c r="E6" s="700">
        <v>4500</v>
      </c>
      <c r="F6" s="701"/>
      <c r="H6" s="700">
        <v>4500</v>
      </c>
      <c r="I6" s="700">
        <v>4500</v>
      </c>
      <c r="J6" s="701">
        <v>0</v>
      </c>
      <c r="L6" s="700">
        <v>4500</v>
      </c>
      <c r="M6" s="700">
        <v>4500</v>
      </c>
      <c r="N6" s="701">
        <v>0</v>
      </c>
      <c r="P6" s="700">
        <v>4500</v>
      </c>
      <c r="Q6" s="700">
        <v>4500</v>
      </c>
      <c r="R6" s="701">
        <v>0</v>
      </c>
      <c r="T6" s="700">
        <v>4500</v>
      </c>
      <c r="U6" s="700">
        <v>4500</v>
      </c>
      <c r="V6" s="701">
        <v>0</v>
      </c>
      <c r="X6" s="700">
        <v>4500</v>
      </c>
      <c r="Y6" s="700">
        <v>4500</v>
      </c>
      <c r="Z6" s="701">
        <v>0</v>
      </c>
      <c r="AB6" s="700">
        <v>4500</v>
      </c>
      <c r="AC6" s="700">
        <v>4500</v>
      </c>
      <c r="AD6" s="701">
        <v>0</v>
      </c>
      <c r="AF6" s="700">
        <v>4500</v>
      </c>
      <c r="AG6" s="702">
        <v>4500</v>
      </c>
      <c r="AH6" s="700">
        <v>4500</v>
      </c>
      <c r="AI6" s="701">
        <v>0</v>
      </c>
      <c r="AJ6" s="701"/>
      <c r="AK6" s="700">
        <v>4500</v>
      </c>
      <c r="AL6" s="700">
        <v>2250</v>
      </c>
      <c r="AM6" s="701">
        <f>(AK6-AG6)/AG6</f>
        <v>0</v>
      </c>
      <c r="AN6" s="701"/>
      <c r="AO6" s="703">
        <f>'FY20 Payroll Schedule'!J6</f>
        <v>4500</v>
      </c>
      <c r="AP6" s="704">
        <f t="shared" ref="AP6:AP14" si="0">AO6-AK6</f>
        <v>0</v>
      </c>
      <c r="AQ6" s="701">
        <f>(AO6-AK6)/AK6</f>
        <v>0</v>
      </c>
      <c r="AR6" s="705" t="s">
        <v>285</v>
      </c>
    </row>
    <row r="7" spans="1:44" x14ac:dyDescent="0.3">
      <c r="A7" s="698" t="s">
        <v>286</v>
      </c>
      <c r="B7" s="699" t="s">
        <v>287</v>
      </c>
      <c r="C7" s="698" t="s">
        <v>1759</v>
      </c>
      <c r="D7" s="700">
        <v>86068</v>
      </c>
      <c r="E7" s="700">
        <v>86068</v>
      </c>
      <c r="F7" s="701"/>
      <c r="H7" s="700">
        <v>88302</v>
      </c>
      <c r="I7" s="700">
        <v>88302</v>
      </c>
      <c r="J7" s="701">
        <v>2.5956220662731795E-2</v>
      </c>
      <c r="L7" s="700">
        <v>90953.279999999999</v>
      </c>
      <c r="M7" s="700">
        <v>90953.2</v>
      </c>
      <c r="N7" s="701">
        <v>3.0025140993408968E-2</v>
      </c>
      <c r="P7" s="700">
        <v>93124.800000000003</v>
      </c>
      <c r="Q7" s="700">
        <v>93124.72</v>
      </c>
      <c r="R7" s="701">
        <v>2.3875114784205738E-2</v>
      </c>
      <c r="T7" s="700">
        <v>94523.76</v>
      </c>
      <c r="U7" s="700">
        <v>94523.77</v>
      </c>
      <c r="V7" s="701">
        <v>1.502242152466359E-2</v>
      </c>
      <c r="X7" s="700">
        <v>96122.559999999998</v>
      </c>
      <c r="Y7" s="700">
        <v>96122.559999999998</v>
      </c>
      <c r="Z7" s="701">
        <v>1.6914265788834499E-2</v>
      </c>
      <c r="AB7" s="700">
        <v>96716.160000000003</v>
      </c>
      <c r="AC7" s="700">
        <v>96716.160000000003</v>
      </c>
      <c r="AD7" s="701">
        <v>6.1754493430054907E-3</v>
      </c>
      <c r="AF7" s="700">
        <v>97676.64</v>
      </c>
      <c r="AG7" s="702">
        <v>120000</v>
      </c>
      <c r="AH7" s="700">
        <v>119872</v>
      </c>
      <c r="AI7" s="701">
        <v>0.24074404939153907</v>
      </c>
      <c r="AJ7" s="701"/>
      <c r="AK7" s="700">
        <v>130000</v>
      </c>
      <c r="AL7" s="700">
        <v>57470</v>
      </c>
      <c r="AM7" s="701">
        <f>(AK7-AG7)/AG7</f>
        <v>8.3333333333333329E-2</v>
      </c>
      <c r="AN7" s="701"/>
      <c r="AO7" s="706">
        <f>'FY20 Payroll Schedule'!J3</f>
        <v>123842.5</v>
      </c>
      <c r="AP7" s="704">
        <f t="shared" si="0"/>
        <v>-6157.5</v>
      </c>
      <c r="AQ7" s="701">
        <f>(AO7-AK7)/AK7</f>
        <v>-4.7365384615384615E-2</v>
      </c>
      <c r="AR7" s="705" t="s">
        <v>1430</v>
      </c>
    </row>
    <row r="8" spans="1:44" x14ac:dyDescent="0.3">
      <c r="A8" s="698" t="s">
        <v>288</v>
      </c>
      <c r="B8" s="699" t="s">
        <v>289</v>
      </c>
      <c r="C8" s="698" t="s">
        <v>1595</v>
      </c>
      <c r="D8" s="700">
        <v>45957</v>
      </c>
      <c r="E8" s="700">
        <v>44396.89</v>
      </c>
      <c r="F8" s="701"/>
      <c r="H8" s="700">
        <v>47147</v>
      </c>
      <c r="I8" s="700">
        <v>47147.08</v>
      </c>
      <c r="J8" s="701">
        <v>2.5893770263507192E-2</v>
      </c>
      <c r="L8" s="700">
        <v>50216.4</v>
      </c>
      <c r="M8" s="700">
        <v>50024.05</v>
      </c>
      <c r="N8" s="701">
        <v>6.5102763696523666E-2</v>
      </c>
      <c r="P8" s="700">
        <v>53181.36</v>
      </c>
      <c r="Q8" s="700">
        <v>53249.85</v>
      </c>
      <c r="R8" s="701">
        <v>5.9043659043659026E-2</v>
      </c>
      <c r="T8" s="700">
        <v>55895.76</v>
      </c>
      <c r="U8" s="700">
        <v>55895.79</v>
      </c>
      <c r="V8" s="701">
        <v>5.1040439733019263E-2</v>
      </c>
      <c r="X8" s="700">
        <v>58939.519999999997</v>
      </c>
      <c r="Y8" s="700">
        <v>58939.519999999997</v>
      </c>
      <c r="Z8" s="701">
        <v>5.4454219783396714E-2</v>
      </c>
      <c r="AB8" s="700">
        <v>61867.44</v>
      </c>
      <c r="AC8" s="700">
        <v>62106.67</v>
      </c>
      <c r="AD8" s="701">
        <v>4.9676685524415634E-2</v>
      </c>
      <c r="AF8" s="700">
        <v>64602.720000000001</v>
      </c>
      <c r="AG8" s="702">
        <v>66628.08</v>
      </c>
      <c r="AH8" s="700">
        <v>66628.08</v>
      </c>
      <c r="AI8" s="701">
        <v>7.6949038137023279E-2</v>
      </c>
      <c r="AJ8" s="701"/>
      <c r="AK8" s="700">
        <v>70261.2</v>
      </c>
      <c r="AL8" s="700">
        <v>33650.01</v>
      </c>
      <c r="AM8" s="701">
        <f>(AK8-AG8)/AG8</f>
        <v>5.4528361015355617E-2</v>
      </c>
      <c r="AN8" s="701"/>
      <c r="AO8" s="706">
        <f>'FY20 Payroll Schedule'!J4</f>
        <v>74332.800000000003</v>
      </c>
      <c r="AP8" s="704">
        <f t="shared" si="0"/>
        <v>4071.6000000000058</v>
      </c>
      <c r="AQ8" s="701">
        <f>(AO8-AK8)/AK8</f>
        <v>5.7949479940564722E-2</v>
      </c>
      <c r="AR8" s="705"/>
    </row>
    <row r="9" spans="1:44" x14ac:dyDescent="0.3">
      <c r="A9" s="698" t="s">
        <v>290</v>
      </c>
      <c r="B9" s="699" t="s">
        <v>291</v>
      </c>
      <c r="C9" s="698" t="s">
        <v>1455</v>
      </c>
      <c r="D9" s="700">
        <v>2583</v>
      </c>
      <c r="E9" s="700">
        <v>3429.5</v>
      </c>
      <c r="F9" s="701"/>
      <c r="H9" s="700">
        <v>3532</v>
      </c>
      <c r="I9" s="700">
        <v>3532</v>
      </c>
      <c r="J9" s="701">
        <v>0.36740224545102595</v>
      </c>
      <c r="L9" s="700">
        <v>3638.13</v>
      </c>
      <c r="M9" s="700">
        <v>3628.13</v>
      </c>
      <c r="N9" s="701">
        <v>3.0048131370328458E-2</v>
      </c>
      <c r="P9" s="700">
        <v>3724.99</v>
      </c>
      <c r="Q9" s="700">
        <v>3724.99</v>
      </c>
      <c r="R9" s="701">
        <v>2.3874902765981334E-2</v>
      </c>
      <c r="T9" s="700">
        <v>3780.95</v>
      </c>
      <c r="U9" s="700">
        <v>3780.95</v>
      </c>
      <c r="V9" s="701">
        <v>1.5022859121769466E-2</v>
      </c>
      <c r="X9" s="700">
        <v>3895.01</v>
      </c>
      <c r="Y9" s="700">
        <v>3895.01</v>
      </c>
      <c r="Z9" s="701">
        <v>3.0167021515756728E-2</v>
      </c>
      <c r="AB9" s="700">
        <v>3920.81</v>
      </c>
      <c r="AC9" s="700">
        <v>3920.69</v>
      </c>
      <c r="AD9" s="701">
        <v>6.6238597590249386E-3</v>
      </c>
      <c r="AF9" s="700">
        <v>3961.6800000000003</v>
      </c>
      <c r="AG9" s="702">
        <v>4546.0200000000004</v>
      </c>
      <c r="AH9" s="700">
        <v>4861</v>
      </c>
      <c r="AI9" s="701">
        <v>0.15945939742043111</v>
      </c>
      <c r="AJ9" s="701"/>
      <c r="AK9" s="700">
        <v>5264.3365000000003</v>
      </c>
      <c r="AL9" s="700">
        <v>64.33</v>
      </c>
      <c r="AM9" s="701">
        <f t="shared" ref="AM9:AM15" si="1">(AK9-AG9)/AG9</f>
        <v>0.1580099735592892</v>
      </c>
      <c r="AN9" s="701"/>
      <c r="AO9" s="706">
        <f>'FY20 Payroll Schedule'!K3+'FY20 Payroll Schedule'!K4+'FY20 Payroll Schedule'!K5</f>
        <v>5762.7739000000001</v>
      </c>
      <c r="AP9" s="704">
        <f t="shared" si="0"/>
        <v>498.4373999999998</v>
      </c>
      <c r="AQ9" s="701">
        <f t="shared" ref="AQ9:AQ15" si="2">(AO9-AK9)/AK9</f>
        <v>9.4681903407960288E-2</v>
      </c>
      <c r="AR9" s="705" t="s">
        <v>1758</v>
      </c>
    </row>
    <row r="10" spans="1:44" x14ac:dyDescent="0.3">
      <c r="A10" s="698" t="s">
        <v>292</v>
      </c>
      <c r="B10" s="699" t="s">
        <v>293</v>
      </c>
      <c r="C10" s="698" t="s">
        <v>1596</v>
      </c>
      <c r="D10" s="700">
        <v>4615</v>
      </c>
      <c r="E10" s="700">
        <v>4605.0600000000004</v>
      </c>
      <c r="F10" s="701"/>
      <c r="H10" s="700">
        <v>4819</v>
      </c>
      <c r="I10" s="700">
        <v>4818.59</v>
      </c>
      <c r="J10" s="701">
        <v>4.420368364030336E-2</v>
      </c>
      <c r="L10" s="700">
        <v>5131.78</v>
      </c>
      <c r="M10" s="700">
        <v>3812.35</v>
      </c>
      <c r="N10" s="701">
        <v>6.4905582070969026E-2</v>
      </c>
      <c r="P10" s="700">
        <v>4529.66</v>
      </c>
      <c r="Q10" s="700">
        <v>4512.3599999999997</v>
      </c>
      <c r="R10" s="701">
        <v>-0.11733160813596841</v>
      </c>
      <c r="T10" s="700">
        <v>4761.95</v>
      </c>
      <c r="U10" s="700">
        <v>4661.6000000000004</v>
      </c>
      <c r="V10" s="701">
        <v>5.1281994675097017E-2</v>
      </c>
      <c r="X10" s="700">
        <v>5010.75</v>
      </c>
      <c r="Y10" s="700">
        <v>5010.75</v>
      </c>
      <c r="Z10" s="701">
        <v>5.2247503648715381E-2</v>
      </c>
      <c r="AB10" s="700">
        <v>5216.09</v>
      </c>
      <c r="AC10" s="700">
        <v>5216.09</v>
      </c>
      <c r="AD10" s="701">
        <v>4.0979893229556481E-2</v>
      </c>
      <c r="AF10" s="700">
        <v>5461.43</v>
      </c>
      <c r="AG10" s="702">
        <v>6099.57</v>
      </c>
      <c r="AH10" s="700">
        <v>6099.57</v>
      </c>
      <c r="AI10" s="701">
        <v>0.16937591184201184</v>
      </c>
      <c r="AJ10" s="701"/>
      <c r="AK10" s="700">
        <v>6433.6500000000005</v>
      </c>
      <c r="AL10" s="700">
        <v>3081.25</v>
      </c>
      <c r="AM10" s="701">
        <f t="shared" si="1"/>
        <v>5.4771074026529878E-2</v>
      </c>
      <c r="AN10" s="701"/>
      <c r="AO10" s="706">
        <f>'FY20 Payroll Schedule'!J5</f>
        <v>6574.59</v>
      </c>
      <c r="AP10" s="704">
        <f t="shared" si="0"/>
        <v>140.9399999999996</v>
      </c>
      <c r="AQ10" s="701">
        <f t="shared" si="2"/>
        <v>2.1906693711967483E-2</v>
      </c>
      <c r="AR10" s="705"/>
    </row>
    <row r="11" spans="1:44" x14ac:dyDescent="0.3">
      <c r="A11" s="699" t="s">
        <v>881</v>
      </c>
      <c r="B11" s="699" t="s">
        <v>294</v>
      </c>
      <c r="C11" s="698" t="s">
        <v>2138</v>
      </c>
      <c r="D11" s="700">
        <v>2500</v>
      </c>
      <c r="E11" s="700">
        <v>2318.35</v>
      </c>
      <c r="F11" s="701"/>
      <c r="H11" s="700">
        <v>2500</v>
      </c>
      <c r="I11" s="700">
        <v>2163.5</v>
      </c>
      <c r="J11" s="701">
        <v>0</v>
      </c>
      <c r="L11" s="700">
        <v>2500</v>
      </c>
      <c r="M11" s="700">
        <v>3048.68</v>
      </c>
      <c r="N11" s="701">
        <v>0</v>
      </c>
      <c r="P11" s="700">
        <v>2500</v>
      </c>
      <c r="Q11" s="700">
        <v>1254.67</v>
      </c>
      <c r="R11" s="701">
        <v>0</v>
      </c>
      <c r="T11" s="700">
        <v>2500</v>
      </c>
      <c r="U11" s="700">
        <v>1615.62</v>
      </c>
      <c r="V11" s="701">
        <v>0</v>
      </c>
      <c r="X11" s="700">
        <v>2500</v>
      </c>
      <c r="Y11" s="700">
        <v>2690.25</v>
      </c>
      <c r="Z11" s="701">
        <v>0</v>
      </c>
      <c r="AB11" s="700">
        <v>2500</v>
      </c>
      <c r="AC11" s="700">
        <v>2771.49</v>
      </c>
      <c r="AD11" s="701">
        <v>0</v>
      </c>
      <c r="AF11" s="700">
        <v>3500</v>
      </c>
      <c r="AG11" s="702">
        <v>3500</v>
      </c>
      <c r="AH11" s="700">
        <v>2150.69</v>
      </c>
      <c r="AI11" s="701">
        <v>0.4</v>
      </c>
      <c r="AJ11" s="701"/>
      <c r="AK11" s="700">
        <v>3500</v>
      </c>
      <c r="AL11" s="700">
        <v>3612.21</v>
      </c>
      <c r="AM11" s="701">
        <f t="shared" si="1"/>
        <v>0</v>
      </c>
      <c r="AN11" s="701"/>
      <c r="AO11" s="706">
        <v>4500</v>
      </c>
      <c r="AP11" s="704">
        <f t="shared" si="0"/>
        <v>1000</v>
      </c>
      <c r="AQ11" s="701">
        <f t="shared" si="2"/>
        <v>0.2857142857142857</v>
      </c>
      <c r="AR11" s="705"/>
    </row>
    <row r="12" spans="1:44" hidden="1" x14ac:dyDescent="0.3">
      <c r="A12" s="699" t="s">
        <v>982</v>
      </c>
      <c r="B12" s="707">
        <v>5192</v>
      </c>
      <c r="C12" s="698" t="s">
        <v>1597</v>
      </c>
      <c r="D12" s="700">
        <v>0</v>
      </c>
      <c r="E12" s="700">
        <v>0</v>
      </c>
      <c r="F12" s="701"/>
      <c r="H12" s="700">
        <v>0</v>
      </c>
      <c r="I12" s="700">
        <v>0</v>
      </c>
      <c r="J12" s="701" t="e">
        <v>#DIV/0!</v>
      </c>
      <c r="L12" s="700">
        <v>0</v>
      </c>
      <c r="M12" s="700">
        <v>0</v>
      </c>
      <c r="N12" s="701" t="e">
        <v>#DIV/0!</v>
      </c>
      <c r="P12" s="700">
        <v>0</v>
      </c>
      <c r="Q12" s="700">
        <v>2331.84</v>
      </c>
      <c r="R12" s="701" t="e">
        <v>#DIV/0!</v>
      </c>
      <c r="T12" s="700">
        <v>0</v>
      </c>
      <c r="U12" s="700">
        <v>1065.44</v>
      </c>
      <c r="V12" s="701" t="e">
        <v>#DIV/0!</v>
      </c>
      <c r="X12" s="700">
        <v>0</v>
      </c>
      <c r="Y12" s="700">
        <v>1602.91</v>
      </c>
      <c r="Z12" s="701" t="e">
        <v>#DIV/0!</v>
      </c>
      <c r="AB12" s="700">
        <v>0</v>
      </c>
      <c r="AC12" s="700">
        <v>1667.79</v>
      </c>
      <c r="AD12" s="701" t="e">
        <v>#DIV/0!</v>
      </c>
      <c r="AF12" s="700"/>
      <c r="AG12" s="702"/>
      <c r="AH12" s="700">
        <v>434.98</v>
      </c>
      <c r="AI12" s="701"/>
      <c r="AJ12" s="701"/>
      <c r="AK12" s="700"/>
      <c r="AL12" s="700"/>
      <c r="AM12" s="701"/>
      <c r="AN12" s="701"/>
      <c r="AO12" s="706"/>
      <c r="AP12" s="704">
        <f t="shared" si="0"/>
        <v>0</v>
      </c>
      <c r="AQ12" s="701"/>
      <c r="AR12" s="705"/>
    </row>
    <row r="13" spans="1:44" hidden="1" x14ac:dyDescent="0.3">
      <c r="A13" s="699" t="s">
        <v>983</v>
      </c>
      <c r="B13" s="707">
        <v>5193</v>
      </c>
      <c r="C13" s="698" t="s">
        <v>1598</v>
      </c>
      <c r="D13" s="700">
        <v>0</v>
      </c>
      <c r="E13" s="700">
        <v>0</v>
      </c>
      <c r="F13" s="701"/>
      <c r="H13" s="700">
        <v>0</v>
      </c>
      <c r="I13" s="700">
        <v>0</v>
      </c>
      <c r="J13" s="701" t="e">
        <v>#DIV/0!</v>
      </c>
      <c r="L13" s="700">
        <v>0</v>
      </c>
      <c r="M13" s="700">
        <v>0</v>
      </c>
      <c r="N13" s="701" t="e">
        <v>#DIV/0!</v>
      </c>
      <c r="P13" s="700">
        <v>0</v>
      </c>
      <c r="Q13" s="700">
        <v>-2331.84</v>
      </c>
      <c r="R13" s="701" t="e">
        <v>#DIV/0!</v>
      </c>
      <c r="T13" s="700">
        <v>0</v>
      </c>
      <c r="U13" s="700">
        <v>-379.47</v>
      </c>
      <c r="V13" s="701" t="e">
        <v>#DIV/0!</v>
      </c>
      <c r="X13" s="700">
        <v>0</v>
      </c>
      <c r="Y13" s="700">
        <v>-1578.44</v>
      </c>
      <c r="Z13" s="701" t="e">
        <v>#DIV/0!</v>
      </c>
      <c r="AB13" s="700">
        <v>0</v>
      </c>
      <c r="AC13" s="700">
        <v>-1667.79</v>
      </c>
      <c r="AD13" s="701" t="e">
        <v>#DIV/0!</v>
      </c>
      <c r="AF13" s="700"/>
      <c r="AG13" s="702"/>
      <c r="AH13" s="700"/>
      <c r="AI13" s="701"/>
      <c r="AJ13" s="701"/>
      <c r="AK13" s="700"/>
      <c r="AL13" s="700">
        <v>-434.98</v>
      </c>
      <c r="AM13" s="701"/>
      <c r="AN13" s="701"/>
      <c r="AO13" s="706"/>
      <c r="AP13" s="704">
        <f t="shared" si="0"/>
        <v>0</v>
      </c>
      <c r="AQ13" s="701"/>
      <c r="AR13" s="705"/>
    </row>
    <row r="14" spans="1:44" x14ac:dyDescent="0.3">
      <c r="A14" s="699" t="s">
        <v>878</v>
      </c>
      <c r="B14" s="699" t="s">
        <v>879</v>
      </c>
      <c r="C14" s="698" t="s">
        <v>880</v>
      </c>
      <c r="D14" s="700">
        <v>0</v>
      </c>
      <c r="E14" s="700">
        <v>0</v>
      </c>
      <c r="F14" s="701"/>
      <c r="H14" s="700">
        <v>0</v>
      </c>
      <c r="I14" s="700">
        <v>0</v>
      </c>
      <c r="J14" s="701" t="e">
        <v>#DIV/0!</v>
      </c>
      <c r="L14" s="700">
        <v>0</v>
      </c>
      <c r="M14" s="700">
        <v>0</v>
      </c>
      <c r="N14" s="701" t="e">
        <v>#DIV/0!</v>
      </c>
      <c r="P14" s="700">
        <v>0</v>
      </c>
      <c r="Q14" s="700">
        <v>0</v>
      </c>
      <c r="R14" s="701" t="e">
        <v>#DIV/0!</v>
      </c>
      <c r="T14" s="700">
        <v>2000</v>
      </c>
      <c r="U14" s="700">
        <v>0</v>
      </c>
      <c r="V14" s="701" t="e">
        <v>#DIV/0!</v>
      </c>
      <c r="X14" s="700">
        <v>2000</v>
      </c>
      <c r="Y14" s="700">
        <v>986</v>
      </c>
      <c r="Z14" s="701">
        <v>0</v>
      </c>
      <c r="AB14" s="700">
        <v>3500</v>
      </c>
      <c r="AC14" s="700">
        <v>53.31</v>
      </c>
      <c r="AD14" s="701">
        <v>0.75</v>
      </c>
      <c r="AF14" s="700">
        <v>3500</v>
      </c>
      <c r="AG14" s="702">
        <v>3500</v>
      </c>
      <c r="AH14" s="700">
        <v>474.3</v>
      </c>
      <c r="AI14" s="701">
        <v>0</v>
      </c>
      <c r="AJ14" s="701"/>
      <c r="AK14" s="700">
        <v>3500</v>
      </c>
      <c r="AL14" s="700"/>
      <c r="AM14" s="701">
        <f>(AK14-AG14)/AG14</f>
        <v>0</v>
      </c>
      <c r="AN14" s="701"/>
      <c r="AO14" s="706">
        <f>'FY20 Payroll Schedule'!J8</f>
        <v>3500</v>
      </c>
      <c r="AP14" s="704">
        <f t="shared" si="0"/>
        <v>0</v>
      </c>
      <c r="AQ14" s="701">
        <f>(AO14-AK14)/AK14</f>
        <v>0</v>
      </c>
      <c r="AR14" s="705"/>
    </row>
    <row r="15" spans="1:44" s="712" customFormat="1" x14ac:dyDescent="0.3">
      <c r="A15" s="708"/>
      <c r="B15" s="708"/>
      <c r="C15" s="708" t="s">
        <v>26</v>
      </c>
      <c r="D15" s="709">
        <v>146223</v>
      </c>
      <c r="E15" s="709">
        <v>145317.80000000002</v>
      </c>
      <c r="F15" s="710">
        <v>4.07E-2</v>
      </c>
      <c r="G15" s="708"/>
      <c r="H15" s="709">
        <v>150800</v>
      </c>
      <c r="I15" s="709">
        <v>150463.17000000001</v>
      </c>
      <c r="J15" s="710">
        <v>4.07E-2</v>
      </c>
      <c r="K15" s="708"/>
      <c r="L15" s="709">
        <v>156939.59</v>
      </c>
      <c r="M15" s="709">
        <v>155966.41</v>
      </c>
      <c r="N15" s="710">
        <v>4.07E-2</v>
      </c>
      <c r="O15" s="708"/>
      <c r="P15" s="709">
        <v>161560.81000000003</v>
      </c>
      <c r="Q15" s="709">
        <v>160366.59</v>
      </c>
      <c r="R15" s="710">
        <v>4.07E-2</v>
      </c>
      <c r="S15" s="708"/>
      <c r="T15" s="709">
        <v>167962.42</v>
      </c>
      <c r="U15" s="709">
        <v>165663.70000000001</v>
      </c>
      <c r="V15" s="710">
        <v>4.07E-2</v>
      </c>
      <c r="W15" s="708"/>
      <c r="X15" s="709">
        <v>172967.84</v>
      </c>
      <c r="Y15" s="709">
        <v>172168.56</v>
      </c>
      <c r="Z15" s="710">
        <v>2.9800832829152992E-2</v>
      </c>
      <c r="AA15" s="708"/>
      <c r="AB15" s="709">
        <v>178220.5</v>
      </c>
      <c r="AC15" s="709">
        <v>175284.41</v>
      </c>
      <c r="AD15" s="710">
        <v>3.0367841790705161E-2</v>
      </c>
      <c r="AE15" s="708"/>
      <c r="AF15" s="709">
        <v>183202.47</v>
      </c>
      <c r="AG15" s="709">
        <v>208773.67</v>
      </c>
      <c r="AH15" s="709">
        <v>205020.62000000002</v>
      </c>
      <c r="AI15" s="710">
        <v>0.17143465538476221</v>
      </c>
      <c r="AJ15" s="710"/>
      <c r="AK15" s="709">
        <f>SUM(AK6:AK14)</f>
        <v>223459.18650000001</v>
      </c>
      <c r="AL15" s="709">
        <f>SUM(AL6:AL14)</f>
        <v>99692.820000000022</v>
      </c>
      <c r="AM15" s="710">
        <f t="shared" si="1"/>
        <v>7.0341803638361081E-2</v>
      </c>
      <c r="AN15" s="710"/>
      <c r="AO15" s="711">
        <f>SUM(AO6:AO14)</f>
        <v>223012.66389999999</v>
      </c>
      <c r="AP15" s="709">
        <f>SUM(AP6:AP13)</f>
        <v>-446.52259999999478</v>
      </c>
      <c r="AQ15" s="710">
        <f t="shared" si="2"/>
        <v>-1.9982288801540307E-3</v>
      </c>
      <c r="AR15" s="710"/>
    </row>
    <row r="16" spans="1:44" x14ac:dyDescent="0.3">
      <c r="C16" s="713"/>
      <c r="D16" s="714"/>
      <c r="E16" s="714"/>
      <c r="H16" s="714"/>
      <c r="I16" s="714"/>
      <c r="L16" s="714"/>
      <c r="M16" s="714"/>
      <c r="P16" s="714"/>
      <c r="Q16" s="714"/>
      <c r="T16" s="714"/>
      <c r="U16" s="714"/>
      <c r="X16" s="714"/>
      <c r="Y16" s="714"/>
      <c r="AB16" s="714"/>
      <c r="AC16" s="714"/>
      <c r="AF16" s="714"/>
      <c r="AG16" s="714"/>
      <c r="AH16" s="714"/>
      <c r="AK16" s="714"/>
      <c r="AL16" s="714"/>
      <c r="AM16" s="701"/>
      <c r="AP16" s="714"/>
      <c r="AQ16" s="701"/>
    </row>
    <row r="17" spans="1:44" x14ac:dyDescent="0.3">
      <c r="C17" s="686" t="s">
        <v>277</v>
      </c>
      <c r="D17" s="714"/>
      <c r="E17" s="714"/>
      <c r="F17" s="701"/>
      <c r="H17" s="714"/>
      <c r="I17" s="714"/>
      <c r="J17" s="701"/>
      <c r="L17" s="714"/>
      <c r="M17" s="714"/>
      <c r="N17" s="701"/>
      <c r="P17" s="714"/>
      <c r="Q17" s="714"/>
      <c r="R17" s="701"/>
      <c r="T17" s="714"/>
      <c r="U17" s="714"/>
      <c r="V17" s="701"/>
      <c r="X17" s="714"/>
      <c r="Y17" s="714"/>
      <c r="Z17" s="714"/>
      <c r="AB17" s="714"/>
      <c r="AC17" s="714"/>
      <c r="AD17" s="714"/>
      <c r="AF17" s="714"/>
      <c r="AG17" s="714"/>
      <c r="AH17" s="714"/>
      <c r="AI17" s="714"/>
      <c r="AJ17" s="714"/>
      <c r="AK17" s="714"/>
      <c r="AL17" s="714"/>
      <c r="AM17" s="714"/>
      <c r="AN17" s="714"/>
      <c r="AP17" s="714"/>
      <c r="AQ17" s="714"/>
      <c r="AR17" s="714"/>
    </row>
    <row r="18" spans="1:44" x14ac:dyDescent="0.3">
      <c r="A18" s="698" t="s">
        <v>295</v>
      </c>
      <c r="B18" s="699" t="s">
        <v>296</v>
      </c>
      <c r="C18" s="698" t="s">
        <v>1495</v>
      </c>
      <c r="D18" s="700">
        <v>800</v>
      </c>
      <c r="E18" s="700">
        <v>230</v>
      </c>
      <c r="F18" s="701"/>
      <c r="H18" s="700">
        <v>800</v>
      </c>
      <c r="I18" s="700">
        <v>1276.4100000000001</v>
      </c>
      <c r="J18" s="701">
        <v>0</v>
      </c>
      <c r="L18" s="700">
        <v>700</v>
      </c>
      <c r="M18" s="700">
        <v>75</v>
      </c>
      <c r="N18" s="701">
        <v>-0.125</v>
      </c>
      <c r="P18" s="700">
        <v>700</v>
      </c>
      <c r="Q18" s="700">
        <v>350</v>
      </c>
      <c r="R18" s="701">
        <v>0</v>
      </c>
      <c r="T18" s="700">
        <v>700</v>
      </c>
      <c r="U18" s="700">
        <v>309.5</v>
      </c>
      <c r="V18" s="701">
        <v>0</v>
      </c>
      <c r="X18" s="700">
        <v>800</v>
      </c>
      <c r="Y18" s="700">
        <v>1349.65</v>
      </c>
      <c r="Z18" s="701">
        <v>0.14285714285714285</v>
      </c>
      <c r="AB18" s="700">
        <v>800</v>
      </c>
      <c r="AC18" s="700">
        <v>815</v>
      </c>
      <c r="AD18" s="701">
        <v>0</v>
      </c>
      <c r="AF18" s="700">
        <v>800</v>
      </c>
      <c r="AG18" s="700">
        <v>800</v>
      </c>
      <c r="AH18" s="700">
        <v>0</v>
      </c>
      <c r="AI18" s="701">
        <v>0</v>
      </c>
      <c r="AJ18" s="701"/>
      <c r="AK18" s="700">
        <v>1000</v>
      </c>
      <c r="AL18" s="700">
        <v>200</v>
      </c>
      <c r="AM18" s="701">
        <f>(AK18-AG18)/AG18</f>
        <v>0.25</v>
      </c>
      <c r="AN18" s="701"/>
      <c r="AO18" s="706">
        <v>1100</v>
      </c>
      <c r="AP18" s="704">
        <f t="shared" ref="AP18:AP29" si="3">AO18-AK18</f>
        <v>100</v>
      </c>
      <c r="AQ18" s="701">
        <f>(AO18-AK18)/AK18</f>
        <v>0.1</v>
      </c>
      <c r="AR18" s="701"/>
    </row>
    <row r="19" spans="1:44" x14ac:dyDescent="0.3">
      <c r="A19" s="698" t="s">
        <v>297</v>
      </c>
      <c r="B19" s="699" t="s">
        <v>298</v>
      </c>
      <c r="C19" s="698" t="s">
        <v>1599</v>
      </c>
      <c r="D19" s="700">
        <v>200</v>
      </c>
      <c r="E19" s="700">
        <v>89.8</v>
      </c>
      <c r="F19" s="701"/>
      <c r="H19" s="700">
        <v>200</v>
      </c>
      <c r="I19" s="700">
        <v>335.3</v>
      </c>
      <c r="J19" s="701">
        <v>0</v>
      </c>
      <c r="L19" s="700">
        <v>150</v>
      </c>
      <c r="M19" s="700">
        <v>118.65</v>
      </c>
      <c r="N19" s="701">
        <v>-0.25</v>
      </c>
      <c r="P19" s="700">
        <v>100</v>
      </c>
      <c r="Q19" s="700">
        <v>144.30000000000001</v>
      </c>
      <c r="R19" s="701">
        <v>-0.33333333333333331</v>
      </c>
      <c r="T19" s="700">
        <v>100</v>
      </c>
      <c r="U19" s="700">
        <v>81.900000000000006</v>
      </c>
      <c r="V19" s="701">
        <v>0</v>
      </c>
      <c r="X19" s="700">
        <v>100</v>
      </c>
      <c r="Y19" s="700">
        <v>15.05</v>
      </c>
      <c r="Z19" s="701">
        <v>0</v>
      </c>
      <c r="AB19" s="700">
        <v>100</v>
      </c>
      <c r="AC19" s="700">
        <v>0</v>
      </c>
      <c r="AD19" s="701">
        <v>0</v>
      </c>
      <c r="AF19" s="700">
        <v>100</v>
      </c>
      <c r="AG19" s="700">
        <v>100</v>
      </c>
      <c r="AH19" s="700">
        <v>0</v>
      </c>
      <c r="AI19" s="701">
        <v>0</v>
      </c>
      <c r="AJ19" s="701"/>
      <c r="AK19" s="700">
        <v>100</v>
      </c>
      <c r="AL19" s="700">
        <v>0</v>
      </c>
      <c r="AM19" s="701">
        <f>(AK19-AG19)/AG19</f>
        <v>0</v>
      </c>
      <c r="AN19" s="701"/>
      <c r="AO19" s="706">
        <v>100</v>
      </c>
      <c r="AP19" s="704">
        <f t="shared" si="3"/>
        <v>0</v>
      </c>
      <c r="AQ19" s="701">
        <f>(AO19-AK19)/AK19</f>
        <v>0</v>
      </c>
      <c r="AR19" s="701"/>
    </row>
    <row r="20" spans="1:44" x14ac:dyDescent="0.3">
      <c r="A20" s="698" t="s">
        <v>299</v>
      </c>
      <c r="B20" s="699" t="s">
        <v>300</v>
      </c>
      <c r="C20" s="698" t="s">
        <v>1600</v>
      </c>
      <c r="D20" s="700">
        <v>5800</v>
      </c>
      <c r="E20" s="700">
        <v>4309.2</v>
      </c>
      <c r="F20" s="701"/>
      <c r="H20" s="700">
        <v>5000</v>
      </c>
      <c r="I20" s="700">
        <v>4773.6000000000004</v>
      </c>
      <c r="J20" s="701">
        <v>-0.13793103448275862</v>
      </c>
      <c r="L20" s="700">
        <v>5000</v>
      </c>
      <c r="M20" s="700">
        <v>4981.6000000000004</v>
      </c>
      <c r="N20" s="701">
        <v>0</v>
      </c>
      <c r="P20" s="700">
        <v>5100</v>
      </c>
      <c r="Q20" s="700">
        <v>5281.2</v>
      </c>
      <c r="R20" s="701">
        <v>0.02</v>
      </c>
      <c r="T20" s="700">
        <v>5100</v>
      </c>
      <c r="U20" s="700">
        <v>5588.8</v>
      </c>
      <c r="V20" s="701">
        <v>0</v>
      </c>
      <c r="X20" s="700">
        <v>5100</v>
      </c>
      <c r="Y20" s="700">
        <v>6036.8</v>
      </c>
      <c r="Z20" s="701">
        <v>0</v>
      </c>
      <c r="AB20" s="700">
        <v>5100</v>
      </c>
      <c r="AC20" s="700">
        <v>5100</v>
      </c>
      <c r="AD20" s="701">
        <v>0</v>
      </c>
      <c r="AF20" s="700">
        <v>6000</v>
      </c>
      <c r="AG20" s="700">
        <v>6000</v>
      </c>
      <c r="AH20" s="700">
        <v>6820</v>
      </c>
      <c r="AI20" s="701">
        <v>0.17647058823529413</v>
      </c>
      <c r="AJ20" s="701"/>
      <c r="AK20" s="700">
        <v>8000</v>
      </c>
      <c r="AL20" s="700">
        <v>0</v>
      </c>
      <c r="AM20" s="701">
        <f>(AK20-AG20)/AG20</f>
        <v>0.33333333333333331</v>
      </c>
      <c r="AN20" s="701"/>
      <c r="AO20" s="706">
        <v>8000</v>
      </c>
      <c r="AP20" s="704">
        <f t="shared" si="3"/>
        <v>0</v>
      </c>
      <c r="AQ20" s="701">
        <f>(AO20-AK20)/AK20</f>
        <v>0</v>
      </c>
      <c r="AR20" s="701"/>
    </row>
    <row r="21" spans="1:44" x14ac:dyDescent="0.3">
      <c r="A21" s="698" t="s">
        <v>301</v>
      </c>
      <c r="B21" s="699" t="s">
        <v>302</v>
      </c>
      <c r="C21" s="698" t="s">
        <v>1601</v>
      </c>
      <c r="D21" s="700">
        <v>300</v>
      </c>
      <c r="E21" s="700">
        <v>64</v>
      </c>
      <c r="F21" s="701"/>
      <c r="H21" s="700">
        <v>300</v>
      </c>
      <c r="I21" s="700">
        <v>190.87</v>
      </c>
      <c r="J21" s="701">
        <v>0</v>
      </c>
      <c r="L21" s="700">
        <v>200</v>
      </c>
      <c r="M21" s="700">
        <v>70.510000000000005</v>
      </c>
      <c r="N21" s="701">
        <v>-0.33333333333333331</v>
      </c>
      <c r="P21" s="700">
        <v>210</v>
      </c>
      <c r="Q21" s="700">
        <v>172</v>
      </c>
      <c r="R21" s="701">
        <v>0.05</v>
      </c>
      <c r="T21" s="700">
        <v>200</v>
      </c>
      <c r="U21" s="700">
        <v>85.84</v>
      </c>
      <c r="V21" s="701">
        <v>-4.7619047619047616E-2</v>
      </c>
      <c r="X21" s="700">
        <v>100</v>
      </c>
      <c r="Y21" s="700">
        <v>133.75</v>
      </c>
      <c r="Z21" s="701">
        <v>-0.5</v>
      </c>
      <c r="AB21" s="700">
        <v>100</v>
      </c>
      <c r="AC21" s="700">
        <v>80.819999999999993</v>
      </c>
      <c r="AD21" s="701">
        <v>0</v>
      </c>
      <c r="AF21" s="700">
        <v>100</v>
      </c>
      <c r="AG21" s="700">
        <v>100</v>
      </c>
      <c r="AH21" s="700">
        <v>50.26</v>
      </c>
      <c r="AI21" s="701">
        <v>0</v>
      </c>
      <c r="AJ21" s="701"/>
      <c r="AK21" s="700">
        <v>100</v>
      </c>
      <c r="AL21" s="700">
        <v>12.97</v>
      </c>
      <c r="AM21" s="701">
        <f>(AK21-AG21)/AG21</f>
        <v>0</v>
      </c>
      <c r="AN21" s="701"/>
      <c r="AO21" s="706">
        <v>100</v>
      </c>
      <c r="AP21" s="704">
        <f t="shared" si="3"/>
        <v>0</v>
      </c>
      <c r="AQ21" s="701">
        <f>(AO21-AK21)/AK21</f>
        <v>0</v>
      </c>
      <c r="AR21" s="701"/>
    </row>
    <row r="22" spans="1:44" x14ac:dyDescent="0.3">
      <c r="A22" s="698" t="s">
        <v>303</v>
      </c>
      <c r="B22" s="699" t="s">
        <v>304</v>
      </c>
      <c r="C22" s="698" t="s">
        <v>1602</v>
      </c>
      <c r="D22" s="700">
        <v>30</v>
      </c>
      <c r="E22" s="700">
        <v>0</v>
      </c>
      <c r="F22" s="701"/>
      <c r="H22" s="700">
        <v>30</v>
      </c>
      <c r="I22" s="700">
        <v>0</v>
      </c>
      <c r="J22" s="701">
        <v>0</v>
      </c>
      <c r="L22" s="700">
        <v>30</v>
      </c>
      <c r="M22" s="700">
        <v>0</v>
      </c>
      <c r="N22" s="701">
        <v>0</v>
      </c>
      <c r="P22" s="700">
        <v>30</v>
      </c>
      <c r="Q22" s="700">
        <v>1499</v>
      </c>
      <c r="R22" s="701">
        <v>0</v>
      </c>
      <c r="T22" s="700">
        <v>30</v>
      </c>
      <c r="U22" s="700">
        <v>0</v>
      </c>
      <c r="V22" s="701">
        <v>0</v>
      </c>
      <c r="X22" s="700">
        <v>30</v>
      </c>
      <c r="Y22" s="700">
        <v>0</v>
      </c>
      <c r="Z22" s="701">
        <v>0</v>
      </c>
      <c r="AB22" s="700">
        <v>30</v>
      </c>
      <c r="AC22" s="700">
        <v>595</v>
      </c>
      <c r="AD22" s="701">
        <v>0</v>
      </c>
      <c r="AF22" s="700">
        <v>30</v>
      </c>
      <c r="AG22" s="700">
        <v>30</v>
      </c>
      <c r="AH22" s="700">
        <v>0</v>
      </c>
      <c r="AI22" s="701">
        <v>0</v>
      </c>
      <c r="AJ22" s="701"/>
      <c r="AK22" s="700">
        <v>30</v>
      </c>
      <c r="AL22" s="700">
        <v>0</v>
      </c>
      <c r="AM22" s="701">
        <f>(AK22-AG22)/AG22</f>
        <v>0</v>
      </c>
      <c r="AN22" s="701"/>
      <c r="AO22" s="706">
        <v>30</v>
      </c>
      <c r="AP22" s="704">
        <f t="shared" si="3"/>
        <v>0</v>
      </c>
      <c r="AQ22" s="701">
        <f>(AO22-AK22)/AK22</f>
        <v>0</v>
      </c>
      <c r="AR22" s="701"/>
    </row>
    <row r="23" spans="1:44" x14ac:dyDescent="0.3">
      <c r="A23" s="698" t="s">
        <v>948</v>
      </c>
      <c r="B23" s="699" t="s">
        <v>949</v>
      </c>
      <c r="C23" s="698" t="s">
        <v>1480</v>
      </c>
      <c r="D23" s="700">
        <v>0</v>
      </c>
      <c r="E23" s="700">
        <v>0</v>
      </c>
      <c r="F23" s="701"/>
      <c r="H23" s="700">
        <v>0</v>
      </c>
      <c r="I23" s="700">
        <v>4.43</v>
      </c>
      <c r="J23" s="701" t="e">
        <v>#DIV/0!</v>
      </c>
      <c r="L23" s="700">
        <v>0</v>
      </c>
      <c r="M23" s="700">
        <v>1.25</v>
      </c>
      <c r="N23" s="701" t="e">
        <v>#DIV/0!</v>
      </c>
      <c r="P23" s="700">
        <v>0</v>
      </c>
      <c r="Q23" s="700">
        <v>91.19</v>
      </c>
      <c r="R23" s="701" t="e">
        <v>#DIV/0!</v>
      </c>
      <c r="T23" s="700">
        <v>0</v>
      </c>
      <c r="U23" s="700">
        <v>0</v>
      </c>
      <c r="V23" s="701" t="e">
        <v>#DIV/0!</v>
      </c>
      <c r="X23" s="700">
        <v>0</v>
      </c>
      <c r="Y23" s="700">
        <v>0</v>
      </c>
      <c r="Z23" s="701" t="e">
        <v>#DIV/0!</v>
      </c>
      <c r="AB23" s="700">
        <v>0</v>
      </c>
      <c r="AC23" s="700">
        <v>0</v>
      </c>
      <c r="AD23" s="701"/>
      <c r="AF23" s="700"/>
      <c r="AG23" s="700"/>
      <c r="AH23" s="700">
        <v>26.9</v>
      </c>
      <c r="AI23" s="701"/>
      <c r="AJ23" s="701"/>
      <c r="AK23" s="700"/>
      <c r="AL23" s="700"/>
      <c r="AM23" s="701"/>
      <c r="AN23" s="701"/>
      <c r="AO23" s="706"/>
      <c r="AP23" s="704">
        <f t="shared" si="3"/>
        <v>0</v>
      </c>
      <c r="AQ23" s="701"/>
      <c r="AR23" s="701"/>
    </row>
    <row r="24" spans="1:44" x14ac:dyDescent="0.3">
      <c r="A24" s="698" t="s">
        <v>305</v>
      </c>
      <c r="B24" s="699" t="s">
        <v>306</v>
      </c>
      <c r="C24" s="698" t="s">
        <v>1603</v>
      </c>
      <c r="D24" s="700">
        <v>30</v>
      </c>
      <c r="E24" s="700">
        <v>0</v>
      </c>
      <c r="F24" s="701"/>
      <c r="H24" s="700">
        <v>80</v>
      </c>
      <c r="I24" s="700">
        <v>0</v>
      </c>
      <c r="J24" s="701">
        <v>1.6666666666666667</v>
      </c>
      <c r="L24" s="700">
        <v>80</v>
      </c>
      <c r="M24" s="700">
        <v>0</v>
      </c>
      <c r="N24" s="701">
        <v>0</v>
      </c>
      <c r="P24" s="700">
        <v>50</v>
      </c>
      <c r="Q24" s="700">
        <v>0</v>
      </c>
      <c r="R24" s="701">
        <v>-0.375</v>
      </c>
      <c r="T24" s="700">
        <v>50</v>
      </c>
      <c r="U24" s="700">
        <v>0</v>
      </c>
      <c r="V24" s="701">
        <v>0</v>
      </c>
      <c r="X24" s="700">
        <v>50</v>
      </c>
      <c r="Y24" s="700">
        <v>0</v>
      </c>
      <c r="Z24" s="701">
        <v>0</v>
      </c>
      <c r="AB24" s="700">
        <v>50</v>
      </c>
      <c r="AC24" s="700">
        <v>0</v>
      </c>
      <c r="AD24" s="701">
        <v>0</v>
      </c>
      <c r="AF24" s="700">
        <v>50</v>
      </c>
      <c r="AG24" s="700">
        <v>50</v>
      </c>
      <c r="AH24" s="700">
        <v>0</v>
      </c>
      <c r="AI24" s="701">
        <v>0</v>
      </c>
      <c r="AJ24" s="701"/>
      <c r="AK24" s="700">
        <v>50</v>
      </c>
      <c r="AL24" s="700">
        <v>0</v>
      </c>
      <c r="AM24" s="701">
        <f>(AK24-AG24)/AG24</f>
        <v>0</v>
      </c>
      <c r="AN24" s="701"/>
      <c r="AO24" s="706">
        <v>50</v>
      </c>
      <c r="AP24" s="704">
        <f t="shared" si="3"/>
        <v>0</v>
      </c>
      <c r="AQ24" s="701">
        <f>(AO24-AK24)/AK24</f>
        <v>0</v>
      </c>
      <c r="AR24" s="701"/>
    </row>
    <row r="25" spans="1:44" x14ac:dyDescent="0.3">
      <c r="A25" s="698" t="s">
        <v>307</v>
      </c>
      <c r="B25" s="699" t="s">
        <v>308</v>
      </c>
      <c r="C25" s="698" t="s">
        <v>1604</v>
      </c>
      <c r="D25" s="700">
        <v>30</v>
      </c>
      <c r="E25" s="700">
        <v>100</v>
      </c>
      <c r="F25" s="701"/>
      <c r="H25" s="700">
        <v>30</v>
      </c>
      <c r="I25" s="700">
        <v>5.01</v>
      </c>
      <c r="J25" s="701">
        <v>0</v>
      </c>
      <c r="L25" s="700">
        <v>30</v>
      </c>
      <c r="M25" s="700">
        <v>-23</v>
      </c>
      <c r="N25" s="701">
        <v>0</v>
      </c>
      <c r="P25" s="700">
        <v>30</v>
      </c>
      <c r="Q25" s="700">
        <v>-59</v>
      </c>
      <c r="R25" s="701">
        <v>0</v>
      </c>
      <c r="T25" s="700">
        <v>30</v>
      </c>
      <c r="U25" s="700">
        <v>-30</v>
      </c>
      <c r="V25" s="701">
        <v>0</v>
      </c>
      <c r="X25" s="700">
        <v>30</v>
      </c>
      <c r="Y25" s="700">
        <v>-85</v>
      </c>
      <c r="Z25" s="701">
        <v>0</v>
      </c>
      <c r="AB25" s="700">
        <v>30</v>
      </c>
      <c r="AC25" s="700">
        <v>0</v>
      </c>
      <c r="AD25" s="701">
        <v>0</v>
      </c>
      <c r="AF25" s="700">
        <v>30</v>
      </c>
      <c r="AG25" s="700">
        <v>30</v>
      </c>
      <c r="AH25" s="700">
        <v>0</v>
      </c>
      <c r="AI25" s="701">
        <v>0</v>
      </c>
      <c r="AJ25" s="701"/>
      <c r="AK25" s="700">
        <v>30</v>
      </c>
      <c r="AL25" s="700">
        <v>0</v>
      </c>
      <c r="AM25" s="701">
        <f>(AK25-AG25)/AG25</f>
        <v>0</v>
      </c>
      <c r="AN25" s="701"/>
      <c r="AO25" s="706">
        <v>30</v>
      </c>
      <c r="AP25" s="704">
        <f t="shared" si="3"/>
        <v>0</v>
      </c>
      <c r="AQ25" s="701">
        <f>(AO25-AK25)/AK25</f>
        <v>0</v>
      </c>
      <c r="AR25" s="701"/>
    </row>
    <row r="26" spans="1:44" x14ac:dyDescent="0.3">
      <c r="A26" s="698" t="s">
        <v>309</v>
      </c>
      <c r="B26" s="699" t="s">
        <v>310</v>
      </c>
      <c r="C26" s="698" t="s">
        <v>1605</v>
      </c>
      <c r="D26" s="700">
        <v>300</v>
      </c>
      <c r="E26" s="700">
        <v>289.33999999999997</v>
      </c>
      <c r="F26" s="701"/>
      <c r="H26" s="700">
        <v>300</v>
      </c>
      <c r="I26" s="700">
        <v>758.88</v>
      </c>
      <c r="J26" s="701">
        <v>0</v>
      </c>
      <c r="L26" s="700">
        <v>300</v>
      </c>
      <c r="M26" s="700">
        <v>567.02</v>
      </c>
      <c r="N26" s="701">
        <v>0</v>
      </c>
      <c r="P26" s="700">
        <v>350</v>
      </c>
      <c r="Q26" s="700">
        <v>1490.81</v>
      </c>
      <c r="R26" s="701">
        <v>0.16666666666666666</v>
      </c>
      <c r="T26" s="700">
        <v>350</v>
      </c>
      <c r="U26" s="700">
        <v>705.26</v>
      </c>
      <c r="V26" s="701">
        <v>0</v>
      </c>
      <c r="X26" s="700">
        <v>750</v>
      </c>
      <c r="Y26" s="700">
        <v>17</v>
      </c>
      <c r="Z26" s="701">
        <v>1.1428571428571428</v>
      </c>
      <c r="AB26" s="700">
        <v>750</v>
      </c>
      <c r="AC26" s="700">
        <v>1587.93</v>
      </c>
      <c r="AD26" s="701">
        <v>0</v>
      </c>
      <c r="AF26" s="700">
        <v>750</v>
      </c>
      <c r="AG26" s="700">
        <v>750</v>
      </c>
      <c r="AH26" s="700">
        <v>1475.5</v>
      </c>
      <c r="AI26" s="701">
        <v>0</v>
      </c>
      <c r="AJ26" s="701"/>
      <c r="AK26" s="700">
        <v>1000</v>
      </c>
      <c r="AL26" s="700">
        <v>0</v>
      </c>
      <c r="AM26" s="701">
        <f>(AK26-AG26)/AG26</f>
        <v>0.33333333333333331</v>
      </c>
      <c r="AN26" s="701"/>
      <c r="AO26" s="706">
        <v>1300</v>
      </c>
      <c r="AP26" s="704">
        <f t="shared" si="3"/>
        <v>300</v>
      </c>
      <c r="AQ26" s="701">
        <f>(AO26-AK26)/AK26</f>
        <v>0.3</v>
      </c>
      <c r="AR26" s="701"/>
    </row>
    <row r="27" spans="1:44" hidden="1" x14ac:dyDescent="0.3">
      <c r="A27" s="698" t="s">
        <v>950</v>
      </c>
      <c r="B27" s="699" t="s">
        <v>951</v>
      </c>
      <c r="C27" s="698" t="s">
        <v>1606</v>
      </c>
      <c r="D27" s="700">
        <v>0</v>
      </c>
      <c r="E27" s="700">
        <v>0</v>
      </c>
      <c r="F27" s="701"/>
      <c r="H27" s="700">
        <v>0</v>
      </c>
      <c r="I27" s="700">
        <v>89.69</v>
      </c>
      <c r="J27" s="701" t="e">
        <v>#DIV/0!</v>
      </c>
      <c r="L27" s="700">
        <v>0</v>
      </c>
      <c r="M27" s="700">
        <v>114.33</v>
      </c>
      <c r="N27" s="701" t="e">
        <v>#DIV/0!</v>
      </c>
      <c r="P27" s="700">
        <v>0</v>
      </c>
      <c r="Q27" s="700">
        <v>0</v>
      </c>
      <c r="R27" s="701" t="e">
        <v>#DIV/0!</v>
      </c>
      <c r="T27" s="700">
        <v>0</v>
      </c>
      <c r="U27" s="700">
        <v>0</v>
      </c>
      <c r="V27" s="701" t="e">
        <v>#DIV/0!</v>
      </c>
      <c r="X27" s="700">
        <v>0</v>
      </c>
      <c r="Y27" s="700">
        <v>17.12</v>
      </c>
      <c r="Z27" s="701" t="e">
        <v>#DIV/0!</v>
      </c>
      <c r="AB27" s="700">
        <v>0</v>
      </c>
      <c r="AC27" s="700">
        <v>72.349999999999994</v>
      </c>
      <c r="AD27" s="701" t="e">
        <v>#DIV/0!</v>
      </c>
      <c r="AF27" s="700"/>
      <c r="AG27" s="700"/>
      <c r="AH27" s="700"/>
      <c r="AI27" s="701"/>
      <c r="AJ27" s="701"/>
      <c r="AK27" s="700"/>
      <c r="AL27" s="700"/>
      <c r="AM27" s="701"/>
      <c r="AN27" s="701"/>
      <c r="AO27" s="706"/>
      <c r="AP27" s="704">
        <f t="shared" si="3"/>
        <v>0</v>
      </c>
      <c r="AQ27" s="701"/>
      <c r="AR27" s="701"/>
    </row>
    <row r="28" spans="1:44" x14ac:dyDescent="0.3">
      <c r="A28" s="698" t="s">
        <v>311</v>
      </c>
      <c r="B28" s="699" t="s">
        <v>312</v>
      </c>
      <c r="C28" s="698" t="s">
        <v>1594</v>
      </c>
      <c r="D28" s="700">
        <v>1370</v>
      </c>
      <c r="E28" s="700">
        <v>1123.0999999999999</v>
      </c>
      <c r="F28" s="701"/>
      <c r="H28" s="700">
        <v>1400</v>
      </c>
      <c r="I28" s="700">
        <v>1556.45</v>
      </c>
      <c r="J28" s="701">
        <v>2.1897810218978103E-2</v>
      </c>
      <c r="L28" s="700">
        <v>1400</v>
      </c>
      <c r="M28" s="700">
        <v>1338.42</v>
      </c>
      <c r="N28" s="701">
        <v>0</v>
      </c>
      <c r="P28" s="700">
        <v>1400</v>
      </c>
      <c r="Q28" s="700">
        <v>804.68</v>
      </c>
      <c r="R28" s="701">
        <v>0</v>
      </c>
      <c r="T28" s="700">
        <v>1400</v>
      </c>
      <c r="U28" s="700">
        <v>1053.75</v>
      </c>
      <c r="V28" s="701">
        <v>0</v>
      </c>
      <c r="X28" s="700">
        <v>1000</v>
      </c>
      <c r="Y28" s="700">
        <v>1031</v>
      </c>
      <c r="Z28" s="701">
        <v>-0.2857142857142857</v>
      </c>
      <c r="AB28" s="700">
        <v>1000</v>
      </c>
      <c r="AC28" s="700">
        <v>1189.76</v>
      </c>
      <c r="AD28" s="701">
        <v>0</v>
      </c>
      <c r="AF28" s="700">
        <v>1000</v>
      </c>
      <c r="AG28" s="700">
        <v>1000</v>
      </c>
      <c r="AH28" s="700">
        <v>1196.76</v>
      </c>
      <c r="AI28" s="701">
        <v>0</v>
      </c>
      <c r="AJ28" s="701"/>
      <c r="AK28" s="700">
        <v>1300</v>
      </c>
      <c r="AL28" s="700">
        <v>1305</v>
      </c>
      <c r="AM28" s="701">
        <f>(AK28-AG28)/AG28</f>
        <v>0.3</v>
      </c>
      <c r="AN28" s="701"/>
      <c r="AO28" s="706">
        <v>1400</v>
      </c>
      <c r="AP28" s="704">
        <f t="shared" si="3"/>
        <v>100</v>
      </c>
      <c r="AQ28" s="701">
        <f>(AO28-AK28)/AK28</f>
        <v>7.6923076923076927E-2</v>
      </c>
      <c r="AR28" s="701"/>
    </row>
    <row r="29" spans="1:44" hidden="1" x14ac:dyDescent="0.3">
      <c r="A29" s="699" t="s">
        <v>984</v>
      </c>
      <c r="B29" s="699">
        <v>5732</v>
      </c>
      <c r="C29" s="698" t="s">
        <v>1607</v>
      </c>
      <c r="D29" s="700">
        <v>0</v>
      </c>
      <c r="E29" s="700">
        <v>0</v>
      </c>
      <c r="F29" s="701"/>
      <c r="H29" s="700">
        <v>0</v>
      </c>
      <c r="I29" s="700">
        <v>0</v>
      </c>
      <c r="J29" s="701" t="e">
        <v>#DIV/0!</v>
      </c>
      <c r="L29" s="700">
        <v>0</v>
      </c>
      <c r="M29" s="700">
        <v>0</v>
      </c>
      <c r="N29" s="701" t="e">
        <v>#DIV/0!</v>
      </c>
      <c r="P29" s="700">
        <v>0</v>
      </c>
      <c r="Q29" s="700">
        <v>0</v>
      </c>
      <c r="R29" s="701" t="e">
        <v>#DIV/0!</v>
      </c>
      <c r="T29" s="700">
        <v>0</v>
      </c>
      <c r="U29" s="700">
        <v>-29.21</v>
      </c>
      <c r="V29" s="701" t="e">
        <v>#DIV/0!</v>
      </c>
      <c r="X29" s="700">
        <v>0</v>
      </c>
      <c r="Y29" s="700">
        <v>-2.29</v>
      </c>
      <c r="Z29" s="701" t="e">
        <v>#DIV/0!</v>
      </c>
      <c r="AB29" s="700">
        <v>0</v>
      </c>
      <c r="AC29" s="700">
        <v>0</v>
      </c>
      <c r="AD29" s="701"/>
      <c r="AF29" s="700"/>
      <c r="AG29" s="700"/>
      <c r="AH29" s="700">
        <v>-167.34</v>
      </c>
      <c r="AI29" s="701"/>
      <c r="AJ29" s="701"/>
      <c r="AK29" s="700"/>
      <c r="AL29" s="700"/>
      <c r="AM29" s="701"/>
      <c r="AN29" s="701"/>
      <c r="AO29" s="706"/>
      <c r="AP29" s="704">
        <f t="shared" si="3"/>
        <v>0</v>
      </c>
      <c r="AQ29" s="701"/>
      <c r="AR29" s="701"/>
    </row>
    <row r="30" spans="1:44" s="712" customFormat="1" x14ac:dyDescent="0.3">
      <c r="A30" s="715"/>
      <c r="B30" s="715"/>
      <c r="C30" s="715" t="s">
        <v>279</v>
      </c>
      <c r="D30" s="716">
        <v>8860</v>
      </c>
      <c r="E30" s="716">
        <v>6205.4400000000005</v>
      </c>
      <c r="F30" s="717">
        <v>3.0700000000000002E-2</v>
      </c>
      <c r="G30" s="715"/>
      <c r="H30" s="716">
        <v>8140</v>
      </c>
      <c r="I30" s="716">
        <v>8990.6400000000012</v>
      </c>
      <c r="J30" s="717">
        <v>3.0700000000000002E-2</v>
      </c>
      <c r="K30" s="715"/>
      <c r="L30" s="716">
        <v>7890</v>
      </c>
      <c r="M30" s="716">
        <v>7243.7800000000007</v>
      </c>
      <c r="N30" s="717">
        <v>3.0700000000000002E-2</v>
      </c>
      <c r="O30" s="715"/>
      <c r="P30" s="716">
        <v>7970</v>
      </c>
      <c r="Q30" s="716">
        <v>9774.18</v>
      </c>
      <c r="R30" s="717">
        <v>3.0700000000000002E-2</v>
      </c>
      <c r="S30" s="715"/>
      <c r="T30" s="716">
        <v>7960</v>
      </c>
      <c r="U30" s="716">
        <v>7765.84</v>
      </c>
      <c r="V30" s="717">
        <v>3.0700000000000002E-2</v>
      </c>
      <c r="W30" s="715"/>
      <c r="X30" s="716">
        <v>7960</v>
      </c>
      <c r="Y30" s="716">
        <v>8513.0799999999981</v>
      </c>
      <c r="Z30" s="718">
        <v>0</v>
      </c>
      <c r="AA30" s="715"/>
      <c r="AB30" s="716">
        <v>7960</v>
      </c>
      <c r="AC30" s="716">
        <v>9440.86</v>
      </c>
      <c r="AD30" s="717">
        <v>0</v>
      </c>
      <c r="AE30" s="715"/>
      <c r="AF30" s="716">
        <v>8860</v>
      </c>
      <c r="AG30" s="716">
        <v>8860</v>
      </c>
      <c r="AH30" s="716">
        <v>9402.08</v>
      </c>
      <c r="AI30" s="717">
        <v>0.11306532663316583</v>
      </c>
      <c r="AJ30" s="717"/>
      <c r="AK30" s="716">
        <f>SUM(AK18:AK29)</f>
        <v>11610</v>
      </c>
      <c r="AL30" s="716">
        <f>SUM(AL18:AL29)</f>
        <v>1517.97</v>
      </c>
      <c r="AM30" s="717">
        <f>(AK30-AG30)/AG30</f>
        <v>0.31038374717832956</v>
      </c>
      <c r="AN30" s="717"/>
      <c r="AO30" s="719">
        <f>SUM(AO18:AO29)</f>
        <v>12110</v>
      </c>
      <c r="AP30" s="719">
        <f>SUM(AP18:AP29)</f>
        <v>500</v>
      </c>
      <c r="AQ30" s="717">
        <f>(AO30-AK30)/AK30</f>
        <v>4.3066322136089581E-2</v>
      </c>
      <c r="AR30" s="717"/>
    </row>
    <row r="31" spans="1:44" x14ac:dyDescent="0.3">
      <c r="D31" s="714"/>
      <c r="E31" s="714"/>
      <c r="F31" s="701"/>
      <c r="H31" s="714"/>
      <c r="I31" s="714"/>
      <c r="J31" s="701"/>
      <c r="L31" s="714"/>
      <c r="M31" s="714"/>
      <c r="N31" s="701"/>
      <c r="P31" s="714"/>
      <c r="Q31" s="714"/>
      <c r="R31" s="701"/>
      <c r="T31" s="714"/>
      <c r="U31" s="714"/>
      <c r="V31" s="701"/>
      <c r="X31" s="714"/>
      <c r="Y31" s="714"/>
      <c r="Z31" s="701"/>
      <c r="AB31" s="714"/>
      <c r="AC31" s="714"/>
      <c r="AD31" s="701"/>
      <c r="AF31" s="714"/>
      <c r="AG31" s="714"/>
      <c r="AH31" s="714"/>
      <c r="AI31" s="701"/>
      <c r="AJ31" s="701"/>
      <c r="AK31" s="714"/>
      <c r="AL31" s="714"/>
      <c r="AM31" s="701"/>
      <c r="AN31" s="701"/>
      <c r="AP31" s="714">
        <f>AO31-AG31</f>
        <v>0</v>
      </c>
      <c r="AQ31" s="701"/>
      <c r="AR31" s="701"/>
    </row>
    <row r="32" spans="1:44" s="712" customFormat="1" ht="14.25" x14ac:dyDescent="0.2">
      <c r="A32" s="720"/>
      <c r="B32" s="720"/>
      <c r="C32" s="721" t="s">
        <v>280</v>
      </c>
      <c r="D32" s="722">
        <v>155083</v>
      </c>
      <c r="E32" s="722">
        <v>151523.24000000002</v>
      </c>
      <c r="F32" s="723">
        <v>3.7100000000000001E-2</v>
      </c>
      <c r="G32" s="720"/>
      <c r="H32" s="722">
        <v>158940</v>
      </c>
      <c r="I32" s="722">
        <v>159453.81000000003</v>
      </c>
      <c r="J32" s="723">
        <v>3.7100000000000001E-2</v>
      </c>
      <c r="K32" s="720"/>
      <c r="L32" s="722">
        <v>164829.59</v>
      </c>
      <c r="M32" s="722">
        <v>163210.19</v>
      </c>
      <c r="N32" s="723">
        <v>3.7100000000000001E-2</v>
      </c>
      <c r="O32" s="720"/>
      <c r="P32" s="722">
        <v>169530.81000000003</v>
      </c>
      <c r="Q32" s="722">
        <v>170140.77</v>
      </c>
      <c r="R32" s="723">
        <v>3.7100000000000001E-2</v>
      </c>
      <c r="S32" s="720"/>
      <c r="T32" s="722">
        <v>175922.42</v>
      </c>
      <c r="U32" s="722">
        <v>173429.54</v>
      </c>
      <c r="V32" s="723">
        <v>3.7100000000000001E-2</v>
      </c>
      <c r="W32" s="720"/>
      <c r="X32" s="722">
        <v>180927.84</v>
      </c>
      <c r="Y32" s="722">
        <v>180681.63999999998</v>
      </c>
      <c r="Z32" s="723">
        <v>2.8452428064597926E-2</v>
      </c>
      <c r="AA32" s="720"/>
      <c r="AB32" s="722">
        <v>186180.5</v>
      </c>
      <c r="AC32" s="722">
        <f>AC15+AC30</f>
        <v>184725.27000000002</v>
      </c>
      <c r="AD32" s="723">
        <v>2.9031795217364025E-2</v>
      </c>
      <c r="AE32" s="720"/>
      <c r="AF32" s="722">
        <v>192062.47</v>
      </c>
      <c r="AG32" s="724">
        <v>217633.67</v>
      </c>
      <c r="AH32" s="722">
        <f>AH15+AH30</f>
        <v>214422.7</v>
      </c>
      <c r="AI32" s="723">
        <v>0.16893912090686194</v>
      </c>
      <c r="AJ32" s="723"/>
      <c r="AK32" s="722">
        <f>AK15+AK30</f>
        <v>235069.18650000001</v>
      </c>
      <c r="AL32" s="722">
        <f>AL15+AL30</f>
        <v>101210.79000000002</v>
      </c>
      <c r="AM32" s="723">
        <f>(AK32-AG32)/AG32</f>
        <v>8.0114058178589728E-2</v>
      </c>
      <c r="AN32" s="723"/>
      <c r="AO32" s="725">
        <f>AO15+AO30</f>
        <v>235122.66389999999</v>
      </c>
      <c r="AP32" s="722">
        <f>AP15+AP30</f>
        <v>53.477400000005218</v>
      </c>
      <c r="AQ32" s="723">
        <f>(AO32-AK32)/AK32</f>
        <v>2.2749642688695948E-4</v>
      </c>
      <c r="AR32" s="723"/>
    </row>
    <row r="33" spans="1:43" x14ac:dyDescent="0.3">
      <c r="D33" s="726"/>
      <c r="F33" s="701"/>
      <c r="H33" s="726"/>
      <c r="J33" s="701"/>
      <c r="L33" s="726"/>
      <c r="N33" s="701"/>
      <c r="P33" s="726"/>
      <c r="R33" s="701"/>
      <c r="T33" s="726"/>
      <c r="V33" s="701"/>
      <c r="X33" s="726"/>
      <c r="AB33" s="726"/>
      <c r="AF33" s="726"/>
      <c r="AG33" s="726"/>
      <c r="AK33" s="726"/>
    </row>
    <row r="34" spans="1:43" s="686" customFormat="1" ht="17.25" thickBot="1" x14ac:dyDescent="0.35">
      <c r="C34" s="686" t="s">
        <v>281</v>
      </c>
      <c r="D34" s="727"/>
      <c r="E34" s="728">
        <v>3559.7599999999802</v>
      </c>
      <c r="F34" s="701"/>
      <c r="G34" s="687"/>
      <c r="H34" s="727"/>
      <c r="I34" s="728">
        <v>-513.81000000002678</v>
      </c>
      <c r="J34" s="701"/>
      <c r="K34" s="687"/>
      <c r="L34" s="727"/>
      <c r="M34" s="728">
        <v>1619.3999999999942</v>
      </c>
      <c r="N34" s="701"/>
      <c r="O34" s="687"/>
      <c r="P34" s="727"/>
      <c r="Q34" s="728">
        <v>-609.95999999996275</v>
      </c>
      <c r="R34" s="701"/>
      <c r="S34" s="687"/>
      <c r="T34" s="727"/>
      <c r="U34" s="728">
        <v>2492.8800000000047</v>
      </c>
      <c r="V34" s="701"/>
      <c r="W34" s="687"/>
      <c r="X34" s="727"/>
      <c r="Y34" s="728">
        <v>246.20000000001164</v>
      </c>
      <c r="AA34" s="687"/>
      <c r="AB34" s="727"/>
      <c r="AC34" s="728">
        <v>1455.2299999999814</v>
      </c>
      <c r="AE34" s="687"/>
      <c r="AF34" s="727"/>
      <c r="AG34" s="727"/>
      <c r="AH34" s="728">
        <v>3210.9700000000012</v>
      </c>
      <c r="AK34" s="727"/>
      <c r="AL34" s="728">
        <f>AK32-AL32</f>
        <v>133858.39649999997</v>
      </c>
      <c r="AO34" s="729" t="s">
        <v>1195</v>
      </c>
      <c r="AP34" s="730"/>
      <c r="AQ34" s="731"/>
    </row>
    <row r="35" spans="1:43" s="686" customFormat="1" ht="17.25" thickTop="1" x14ac:dyDescent="0.3">
      <c r="D35" s="727"/>
      <c r="E35" s="732"/>
      <c r="F35" s="701"/>
      <c r="G35" s="687"/>
      <c r="H35" s="727"/>
      <c r="I35" s="732"/>
      <c r="J35" s="701"/>
      <c r="K35" s="687"/>
      <c r="L35" s="727"/>
      <c r="M35" s="732"/>
      <c r="N35" s="701"/>
      <c r="O35" s="687"/>
      <c r="P35" s="727"/>
      <c r="Q35" s="732"/>
      <c r="R35" s="701"/>
      <c r="S35" s="687"/>
      <c r="T35" s="727"/>
      <c r="U35" s="732"/>
      <c r="V35" s="701"/>
      <c r="W35" s="687"/>
      <c r="X35" s="727"/>
      <c r="Y35" s="732"/>
      <c r="AA35" s="687"/>
      <c r="AB35" s="727"/>
      <c r="AC35" s="732"/>
      <c r="AE35" s="687"/>
      <c r="AF35" s="727"/>
      <c r="AG35" s="727"/>
      <c r="AH35" s="732"/>
      <c r="AK35" s="727"/>
      <c r="AL35" s="732"/>
      <c r="AO35" s="733" t="s">
        <v>313</v>
      </c>
      <c r="AP35" s="734"/>
      <c r="AQ35" s="735">
        <f>AO15*0.0145</f>
        <v>3233.6836265500001</v>
      </c>
    </row>
    <row r="36" spans="1:43" s="686" customFormat="1" x14ac:dyDescent="0.3">
      <c r="D36" s="727"/>
      <c r="E36" s="732"/>
      <c r="F36" s="701"/>
      <c r="G36" s="687"/>
      <c r="H36" s="727"/>
      <c r="I36" s="732"/>
      <c r="J36" s="701"/>
      <c r="K36" s="687"/>
      <c r="L36" s="727"/>
      <c r="M36" s="732"/>
      <c r="N36" s="701"/>
      <c r="O36" s="687"/>
      <c r="P36" s="727"/>
      <c r="Q36" s="732"/>
      <c r="R36" s="701"/>
      <c r="S36" s="687"/>
      <c r="T36" s="727"/>
      <c r="U36" s="732"/>
      <c r="V36" s="701"/>
      <c r="W36" s="687"/>
      <c r="X36" s="727"/>
      <c r="Y36" s="732"/>
      <c r="AA36" s="687"/>
      <c r="AB36" s="727"/>
      <c r="AC36" s="732"/>
      <c r="AE36" s="687"/>
      <c r="AF36" s="727"/>
      <c r="AG36" s="727"/>
      <c r="AH36" s="732"/>
      <c r="AK36" s="727"/>
      <c r="AL36" s="732"/>
      <c r="AO36" s="733" t="s">
        <v>314</v>
      </c>
      <c r="AP36" s="734"/>
      <c r="AQ36" s="735">
        <f>AO15*0.0009</f>
        <v>200.71139750999998</v>
      </c>
    </row>
    <row r="37" spans="1:43" s="686" customFormat="1" x14ac:dyDescent="0.3">
      <c r="D37" s="727"/>
      <c r="E37" s="732"/>
      <c r="F37" s="701"/>
      <c r="G37" s="687"/>
      <c r="H37" s="727"/>
      <c r="I37" s="732"/>
      <c r="J37" s="701"/>
      <c r="K37" s="687"/>
      <c r="L37" s="727"/>
      <c r="M37" s="732"/>
      <c r="N37" s="701"/>
      <c r="O37" s="687"/>
      <c r="P37" s="727"/>
      <c r="Q37" s="732"/>
      <c r="R37" s="701"/>
      <c r="S37" s="687"/>
      <c r="T37" s="727"/>
      <c r="U37" s="732"/>
      <c r="V37" s="701"/>
      <c r="W37" s="687"/>
      <c r="X37" s="727"/>
      <c r="Y37" s="732"/>
      <c r="AA37" s="687"/>
      <c r="AB37" s="727"/>
      <c r="AC37" s="732"/>
      <c r="AE37" s="687"/>
      <c r="AF37" s="727"/>
      <c r="AG37" s="727"/>
      <c r="AH37" s="732"/>
      <c r="AK37" s="727"/>
      <c r="AL37" s="732"/>
      <c r="AO37" s="733" t="s">
        <v>315</v>
      </c>
      <c r="AP37" s="734"/>
      <c r="AQ37" s="735">
        <f>AO15*0.003</f>
        <v>669.03799170000002</v>
      </c>
    </row>
    <row r="38" spans="1:43" x14ac:dyDescent="0.3">
      <c r="A38" s="736"/>
      <c r="F38" s="701"/>
      <c r="J38" s="701"/>
      <c r="N38" s="701"/>
      <c r="R38" s="701"/>
      <c r="V38" s="701"/>
      <c r="AO38" s="733" t="s">
        <v>316</v>
      </c>
      <c r="AP38" s="734"/>
      <c r="AQ38" s="735">
        <f>'County Retirement'!G4</f>
        <v>26908.176254522081</v>
      </c>
    </row>
    <row r="39" spans="1:43" x14ac:dyDescent="0.3">
      <c r="A39" s="736"/>
      <c r="F39" s="701"/>
      <c r="J39" s="701"/>
      <c r="N39" s="701"/>
      <c r="R39" s="701"/>
      <c r="V39" s="701"/>
      <c r="AO39" s="733" t="s">
        <v>2098</v>
      </c>
      <c r="AP39" s="734"/>
      <c r="AQ39" s="735">
        <f>'Health Ins'!L9</f>
        <v>28008</v>
      </c>
    </row>
    <row r="40" spans="1:43" x14ac:dyDescent="0.3">
      <c r="D40" s="726"/>
      <c r="H40" s="726"/>
      <c r="L40" s="726"/>
      <c r="P40" s="726"/>
      <c r="T40" s="726"/>
      <c r="X40" s="726"/>
      <c r="AB40" s="726"/>
      <c r="AF40" s="726"/>
      <c r="AG40" s="726"/>
      <c r="AK40" s="726"/>
      <c r="AO40" s="733" t="s">
        <v>2099</v>
      </c>
      <c r="AP40" s="734"/>
      <c r="AQ40" s="737">
        <f>'Health Ins'!L12</f>
        <v>70785</v>
      </c>
    </row>
    <row r="41" spans="1:43" x14ac:dyDescent="0.3">
      <c r="D41" s="726"/>
      <c r="H41" s="726"/>
      <c r="L41" s="726"/>
      <c r="P41" s="726"/>
      <c r="T41" s="726"/>
      <c r="X41" s="726"/>
      <c r="AB41" s="726"/>
      <c r="AF41" s="726"/>
      <c r="AG41" s="726"/>
      <c r="AK41" s="726"/>
      <c r="AO41" s="738"/>
      <c r="AP41" s="739"/>
      <c r="AQ41" s="740">
        <f>SUM(AQ35:AQ40)</f>
        <v>129804.60927028209</v>
      </c>
    </row>
    <row r="42" spans="1:43" x14ac:dyDescent="0.3">
      <c r="D42" s="726"/>
      <c r="H42" s="726"/>
      <c r="L42" s="726"/>
      <c r="P42" s="726"/>
      <c r="T42" s="726"/>
      <c r="X42" s="726"/>
      <c r="AB42" s="726"/>
      <c r="AF42" s="726"/>
      <c r="AG42" s="726"/>
      <c r="AK42" s="726"/>
    </row>
    <row r="43" spans="1:43" x14ac:dyDescent="0.3">
      <c r="D43" s="726"/>
      <c r="H43" s="726"/>
      <c r="L43" s="726"/>
      <c r="P43" s="726"/>
      <c r="T43" s="726"/>
      <c r="X43" s="726"/>
      <c r="AB43" s="726"/>
      <c r="AF43" s="726"/>
      <c r="AG43" s="726"/>
      <c r="AK43" s="726"/>
      <c r="AO43" s="703">
        <v>-3000</v>
      </c>
      <c r="AP43" s="704" t="s">
        <v>2136</v>
      </c>
    </row>
    <row r="44" spans="1:43" x14ac:dyDescent="0.3">
      <c r="D44" s="726"/>
      <c r="H44" s="726"/>
      <c r="L44" s="726"/>
      <c r="P44" s="726"/>
      <c r="T44" s="726"/>
      <c r="X44" s="726"/>
      <c r="AB44" s="726"/>
      <c r="AF44" s="726"/>
      <c r="AG44" s="726"/>
      <c r="AK44" s="726"/>
    </row>
    <row r="45" spans="1:43" x14ac:dyDescent="0.3">
      <c r="D45" s="726"/>
      <c r="H45" s="726"/>
      <c r="L45" s="726"/>
      <c r="P45" s="726"/>
      <c r="T45" s="726"/>
      <c r="X45" s="726"/>
      <c r="AB45" s="726"/>
      <c r="AF45" s="726"/>
      <c r="AG45" s="726"/>
      <c r="AK45" s="726"/>
    </row>
    <row r="46" spans="1:43" x14ac:dyDescent="0.3">
      <c r="D46" s="726"/>
      <c r="H46" s="726"/>
      <c r="L46" s="726"/>
      <c r="P46" s="726"/>
      <c r="T46" s="726"/>
      <c r="X46" s="726"/>
      <c r="AB46" s="726"/>
      <c r="AF46" s="726"/>
      <c r="AG46" s="726"/>
      <c r="AK46" s="726"/>
    </row>
    <row r="47" spans="1:43" x14ac:dyDescent="0.3">
      <c r="D47" s="726"/>
      <c r="H47" s="726"/>
      <c r="L47" s="726"/>
      <c r="P47" s="726"/>
      <c r="T47" s="726"/>
      <c r="X47" s="726"/>
      <c r="AB47" s="726"/>
      <c r="AF47" s="726"/>
      <c r="AG47" s="726"/>
      <c r="AK47" s="726"/>
    </row>
    <row r="48" spans="1:43" x14ac:dyDescent="0.3">
      <c r="D48" s="726"/>
      <c r="H48" s="726"/>
      <c r="L48" s="726"/>
      <c r="P48" s="726"/>
      <c r="T48" s="726"/>
      <c r="X48" s="726"/>
      <c r="AB48" s="726"/>
      <c r="AF48" s="726"/>
      <c r="AG48" s="726"/>
      <c r="AK48" s="726"/>
    </row>
    <row r="49" spans="4:37" x14ac:dyDescent="0.3">
      <c r="D49" s="726"/>
      <c r="H49" s="726"/>
      <c r="L49" s="726"/>
      <c r="P49" s="726"/>
      <c r="T49" s="726"/>
      <c r="X49" s="726"/>
      <c r="AB49" s="726"/>
      <c r="AF49" s="726"/>
      <c r="AG49" s="726"/>
      <c r="AK49" s="726"/>
    </row>
    <row r="50" spans="4:37" x14ac:dyDescent="0.3">
      <c r="D50" s="726"/>
      <c r="H50" s="726"/>
      <c r="L50" s="726"/>
      <c r="P50" s="726"/>
      <c r="T50" s="726"/>
      <c r="X50" s="726"/>
      <c r="AB50" s="726"/>
      <c r="AF50" s="726"/>
      <c r="AG50" s="726"/>
      <c r="AK50" s="726"/>
    </row>
    <row r="51" spans="4:37" x14ac:dyDescent="0.3">
      <c r="D51" s="726"/>
      <c r="H51" s="726"/>
      <c r="L51" s="726"/>
      <c r="P51" s="726"/>
      <c r="T51" s="726"/>
      <c r="X51" s="726"/>
      <c r="AB51" s="726"/>
      <c r="AF51" s="726"/>
      <c r="AG51" s="726"/>
      <c r="AK51" s="726"/>
    </row>
    <row r="52" spans="4:37" x14ac:dyDescent="0.3">
      <c r="D52" s="726"/>
      <c r="H52" s="726"/>
      <c r="L52" s="726"/>
      <c r="P52" s="726"/>
      <c r="T52" s="726"/>
      <c r="X52" s="726"/>
      <c r="AB52" s="726"/>
      <c r="AF52" s="726"/>
      <c r="AG52" s="726"/>
      <c r="AK52" s="726"/>
    </row>
    <row r="53" spans="4:37" x14ac:dyDescent="0.3">
      <c r="D53" s="726"/>
      <c r="H53" s="726"/>
      <c r="L53" s="726"/>
      <c r="P53" s="726"/>
      <c r="T53" s="726"/>
      <c r="X53" s="726"/>
      <c r="AB53" s="726"/>
      <c r="AF53" s="726"/>
      <c r="AG53" s="726"/>
      <c r="AK53" s="726"/>
    </row>
    <row r="54" spans="4:37" x14ac:dyDescent="0.3">
      <c r="D54" s="726"/>
      <c r="H54" s="726"/>
      <c r="L54" s="726"/>
      <c r="P54" s="726"/>
      <c r="T54" s="726"/>
      <c r="X54" s="726"/>
      <c r="AB54" s="726"/>
      <c r="AF54" s="726"/>
      <c r="AG54" s="726"/>
      <c r="AK54" s="726"/>
    </row>
    <row r="55" spans="4:37" x14ac:dyDescent="0.3">
      <c r="D55" s="726"/>
      <c r="H55" s="726"/>
      <c r="L55" s="726"/>
      <c r="P55" s="726"/>
      <c r="T55" s="726"/>
      <c r="X55" s="726"/>
      <c r="AB55" s="726"/>
      <c r="AF55" s="726"/>
      <c r="AG55" s="726"/>
      <c r="AK55" s="726"/>
    </row>
    <row r="56" spans="4:37" x14ac:dyDescent="0.3">
      <c r="D56" s="726"/>
      <c r="H56" s="726"/>
      <c r="L56" s="726"/>
      <c r="P56" s="726"/>
      <c r="T56" s="726"/>
      <c r="X56" s="726"/>
      <c r="AB56" s="726"/>
      <c r="AF56" s="726"/>
      <c r="AG56" s="726"/>
      <c r="AK56" s="726"/>
    </row>
    <row r="57" spans="4:37" x14ac:dyDescent="0.3">
      <c r="D57" s="726"/>
      <c r="H57" s="726"/>
      <c r="L57" s="726"/>
      <c r="P57" s="726"/>
      <c r="T57" s="726"/>
      <c r="X57" s="726"/>
      <c r="AB57" s="726"/>
      <c r="AF57" s="726"/>
      <c r="AG57" s="726"/>
      <c r="AK57" s="726"/>
    </row>
    <row r="58" spans="4:37" x14ac:dyDescent="0.3">
      <c r="D58" s="726"/>
      <c r="H58" s="726"/>
      <c r="L58" s="726"/>
      <c r="P58" s="726"/>
      <c r="T58" s="726"/>
      <c r="X58" s="726"/>
      <c r="AB58" s="726"/>
      <c r="AF58" s="726"/>
      <c r="AG58" s="726"/>
      <c r="AK58" s="726"/>
    </row>
    <row r="59" spans="4:37" x14ac:dyDescent="0.3">
      <c r="D59" s="726"/>
      <c r="H59" s="726"/>
      <c r="L59" s="726"/>
      <c r="P59" s="726"/>
      <c r="T59" s="726"/>
      <c r="X59" s="726"/>
      <c r="AB59" s="726"/>
      <c r="AF59" s="726"/>
      <c r="AG59" s="726"/>
      <c r="AK59" s="726"/>
    </row>
    <row r="60" spans="4:37" x14ac:dyDescent="0.3">
      <c r="D60" s="726"/>
      <c r="H60" s="726"/>
      <c r="L60" s="726"/>
      <c r="P60" s="726"/>
      <c r="T60" s="726"/>
      <c r="X60" s="726"/>
      <c r="AB60" s="726"/>
      <c r="AF60" s="726"/>
      <c r="AG60" s="726"/>
      <c r="AK60" s="726"/>
    </row>
    <row r="61" spans="4:37" x14ac:dyDescent="0.3">
      <c r="D61" s="726"/>
      <c r="H61" s="726"/>
      <c r="L61" s="726"/>
      <c r="P61" s="726"/>
      <c r="T61" s="726"/>
      <c r="X61" s="726"/>
      <c r="AB61" s="726"/>
      <c r="AF61" s="726"/>
      <c r="AG61" s="726"/>
      <c r="AK61" s="726"/>
    </row>
    <row r="62" spans="4:37" x14ac:dyDescent="0.3">
      <c r="D62" s="726"/>
      <c r="H62" s="726"/>
      <c r="L62" s="726"/>
      <c r="P62" s="726"/>
      <c r="T62" s="726"/>
      <c r="X62" s="726"/>
      <c r="AB62" s="726"/>
      <c r="AF62" s="726"/>
      <c r="AG62" s="726"/>
      <c r="AK62" s="726"/>
    </row>
    <row r="63" spans="4:37" x14ac:dyDescent="0.3">
      <c r="D63" s="726"/>
      <c r="H63" s="726"/>
      <c r="L63" s="726"/>
      <c r="P63" s="726"/>
      <c r="T63" s="726"/>
      <c r="X63" s="726"/>
      <c r="AB63" s="726"/>
      <c r="AF63" s="726"/>
      <c r="AG63" s="726"/>
      <c r="AK63" s="726"/>
    </row>
    <row r="64" spans="4:37" x14ac:dyDescent="0.3">
      <c r="D64" s="726"/>
      <c r="H64" s="726"/>
      <c r="L64" s="726"/>
      <c r="P64" s="726"/>
      <c r="T64" s="726"/>
      <c r="X64" s="726"/>
      <c r="AB64" s="726"/>
      <c r="AF64" s="726"/>
      <c r="AG64" s="726"/>
      <c r="AK64" s="726"/>
    </row>
    <row r="65" spans="4:37" x14ac:dyDescent="0.3">
      <c r="D65" s="726"/>
      <c r="H65" s="726"/>
      <c r="L65" s="726"/>
      <c r="P65" s="726"/>
      <c r="T65" s="726"/>
      <c r="X65" s="726"/>
      <c r="AB65" s="726"/>
      <c r="AF65" s="726"/>
      <c r="AG65" s="726"/>
      <c r="AK65" s="726"/>
    </row>
    <row r="66" spans="4:37" x14ac:dyDescent="0.3">
      <c r="D66" s="726"/>
      <c r="H66" s="726"/>
      <c r="L66" s="726"/>
      <c r="P66" s="726"/>
      <c r="T66" s="726"/>
      <c r="X66" s="726"/>
      <c r="AB66" s="726"/>
      <c r="AF66" s="726"/>
      <c r="AG66" s="726"/>
      <c r="AK66" s="726"/>
    </row>
    <row r="67" spans="4:37" x14ac:dyDescent="0.3">
      <c r="D67" s="726"/>
      <c r="H67" s="726"/>
      <c r="L67" s="726"/>
      <c r="P67" s="726"/>
      <c r="T67" s="726"/>
      <c r="X67" s="726"/>
      <c r="AB67" s="726"/>
      <c r="AF67" s="726"/>
      <c r="AG67" s="726"/>
      <c r="AK67" s="726"/>
    </row>
    <row r="68" spans="4:37" x14ac:dyDescent="0.3">
      <c r="D68" s="726"/>
      <c r="H68" s="726"/>
      <c r="L68" s="726"/>
      <c r="P68" s="726"/>
      <c r="T68" s="726"/>
      <c r="X68" s="726"/>
      <c r="AB68" s="726"/>
      <c r="AF68" s="726"/>
      <c r="AG68" s="726"/>
      <c r="AK68" s="726"/>
    </row>
    <row r="69" spans="4:37" x14ac:dyDescent="0.3">
      <c r="D69" s="726"/>
      <c r="H69" s="726"/>
      <c r="L69" s="726"/>
      <c r="P69" s="726"/>
      <c r="T69" s="726"/>
      <c r="X69" s="726"/>
      <c r="AB69" s="726"/>
      <c r="AF69" s="726"/>
      <c r="AG69" s="726"/>
      <c r="AK69" s="726"/>
    </row>
    <row r="70" spans="4:37" x14ac:dyDescent="0.3">
      <c r="D70" s="726"/>
      <c r="H70" s="726"/>
      <c r="L70" s="726"/>
      <c r="P70" s="726"/>
      <c r="T70" s="726"/>
      <c r="X70" s="726"/>
      <c r="AB70" s="726"/>
      <c r="AF70" s="726"/>
      <c r="AG70" s="726"/>
      <c r="AK70" s="726"/>
    </row>
    <row r="71" spans="4:37" x14ac:dyDescent="0.3">
      <c r="D71" s="726"/>
      <c r="H71" s="726"/>
      <c r="L71" s="726"/>
      <c r="P71" s="726"/>
      <c r="T71" s="726"/>
      <c r="X71" s="726"/>
      <c r="AB71" s="726"/>
      <c r="AF71" s="726"/>
      <c r="AG71" s="726"/>
      <c r="AK71" s="726"/>
    </row>
    <row r="72" spans="4:37" x14ac:dyDescent="0.3">
      <c r="D72" s="726"/>
      <c r="H72" s="726"/>
      <c r="L72" s="726"/>
      <c r="P72" s="726"/>
      <c r="T72" s="726"/>
      <c r="X72" s="726"/>
      <c r="AB72" s="726"/>
      <c r="AF72" s="726"/>
      <c r="AG72" s="726"/>
      <c r="AK72" s="726"/>
    </row>
    <row r="73" spans="4:37" x14ac:dyDescent="0.3">
      <c r="D73" s="726"/>
      <c r="H73" s="726"/>
      <c r="L73" s="726"/>
      <c r="P73" s="726"/>
      <c r="T73" s="726"/>
      <c r="X73" s="726"/>
      <c r="AB73" s="726"/>
      <c r="AF73" s="726"/>
      <c r="AG73" s="726"/>
      <c r="AK73" s="726"/>
    </row>
    <row r="74" spans="4:37" x14ac:dyDescent="0.3">
      <c r="D74" s="726"/>
      <c r="H74" s="726"/>
      <c r="L74" s="726"/>
      <c r="P74" s="726"/>
      <c r="T74" s="726"/>
      <c r="X74" s="726"/>
      <c r="AB74" s="726"/>
      <c r="AF74" s="726"/>
      <c r="AG74" s="726"/>
      <c r="AK74" s="726"/>
    </row>
    <row r="75" spans="4:37" x14ac:dyDescent="0.3">
      <c r="D75" s="726"/>
      <c r="H75" s="726"/>
      <c r="L75" s="726"/>
      <c r="P75" s="726"/>
      <c r="T75" s="726"/>
      <c r="X75" s="726"/>
      <c r="AB75" s="726"/>
      <c r="AF75" s="726"/>
      <c r="AG75" s="726"/>
      <c r="AK75" s="726"/>
    </row>
    <row r="76" spans="4:37" x14ac:dyDescent="0.3">
      <c r="D76" s="726"/>
      <c r="H76" s="726"/>
      <c r="L76" s="726"/>
      <c r="P76" s="726"/>
      <c r="T76" s="726"/>
      <c r="X76" s="726"/>
      <c r="AB76" s="726"/>
      <c r="AF76" s="726"/>
      <c r="AG76" s="726"/>
      <c r="AK76" s="726"/>
    </row>
    <row r="77" spans="4:37" x14ac:dyDescent="0.3">
      <c r="D77" s="726"/>
      <c r="H77" s="726"/>
      <c r="L77" s="726"/>
      <c r="P77" s="726"/>
      <c r="T77" s="726"/>
      <c r="X77" s="726"/>
      <c r="AB77" s="726"/>
      <c r="AF77" s="726"/>
      <c r="AG77" s="726"/>
      <c r="AK77" s="726"/>
    </row>
    <row r="78" spans="4:37" x14ac:dyDescent="0.3">
      <c r="D78" s="726"/>
      <c r="H78" s="726"/>
      <c r="L78" s="726"/>
      <c r="P78" s="726"/>
      <c r="T78" s="726"/>
      <c r="X78" s="726"/>
      <c r="AB78" s="726"/>
      <c r="AF78" s="726"/>
      <c r="AG78" s="726"/>
      <c r="AK78" s="726"/>
    </row>
    <row r="79" spans="4:37" x14ac:dyDescent="0.3">
      <c r="D79" s="726"/>
      <c r="H79" s="726"/>
      <c r="L79" s="726"/>
      <c r="P79" s="726"/>
      <c r="T79" s="726"/>
      <c r="X79" s="726"/>
      <c r="AB79" s="726"/>
      <c r="AF79" s="726"/>
      <c r="AG79" s="726"/>
      <c r="AK79" s="726"/>
    </row>
    <row r="80" spans="4:37" x14ac:dyDescent="0.3">
      <c r="D80" s="726"/>
      <c r="H80" s="726"/>
      <c r="L80" s="726"/>
      <c r="P80" s="726"/>
      <c r="T80" s="726"/>
      <c r="X80" s="726"/>
      <c r="AB80" s="726"/>
      <c r="AF80" s="726"/>
      <c r="AG80" s="726"/>
      <c r="AK80" s="726"/>
    </row>
    <row r="81" spans="4:37" x14ac:dyDescent="0.3">
      <c r="D81" s="726"/>
      <c r="H81" s="726"/>
      <c r="L81" s="726"/>
      <c r="P81" s="726"/>
      <c r="T81" s="726"/>
      <c r="X81" s="726"/>
      <c r="AB81" s="726"/>
      <c r="AF81" s="726"/>
      <c r="AG81" s="726"/>
      <c r="AK81" s="726"/>
    </row>
    <row r="82" spans="4:37" x14ac:dyDescent="0.3">
      <c r="D82" s="726"/>
      <c r="H82" s="726"/>
      <c r="L82" s="726"/>
      <c r="P82" s="726"/>
      <c r="T82" s="726"/>
      <c r="X82" s="726"/>
      <c r="AB82" s="726"/>
      <c r="AF82" s="726"/>
      <c r="AG82" s="726"/>
      <c r="AK82" s="726"/>
    </row>
    <row r="83" spans="4:37" x14ac:dyDescent="0.3">
      <c r="D83" s="726"/>
      <c r="H83" s="726"/>
      <c r="L83" s="726"/>
      <c r="P83" s="726"/>
      <c r="T83" s="726"/>
      <c r="X83" s="726"/>
      <c r="AB83" s="726"/>
      <c r="AF83" s="726"/>
      <c r="AG83" s="726"/>
      <c r="AK83" s="726"/>
    </row>
    <row r="84" spans="4:37" x14ac:dyDescent="0.3">
      <c r="D84" s="726"/>
      <c r="H84" s="726"/>
      <c r="L84" s="726"/>
      <c r="P84" s="726"/>
      <c r="T84" s="726"/>
      <c r="X84" s="726"/>
      <c r="AB84" s="726"/>
      <c r="AF84" s="726"/>
      <c r="AG84" s="726"/>
      <c r="AK84" s="726"/>
    </row>
    <row r="85" spans="4:37" x14ac:dyDescent="0.3">
      <c r="D85" s="726"/>
      <c r="H85" s="726"/>
      <c r="L85" s="726"/>
      <c r="P85" s="726"/>
      <c r="T85" s="726"/>
      <c r="X85" s="726"/>
      <c r="AB85" s="726"/>
      <c r="AF85" s="726"/>
      <c r="AG85" s="726"/>
      <c r="AK85" s="726"/>
    </row>
    <row r="86" spans="4:37" x14ac:dyDescent="0.3">
      <c r="D86" s="726"/>
      <c r="H86" s="726"/>
      <c r="L86" s="726"/>
      <c r="P86" s="726"/>
      <c r="T86" s="726"/>
      <c r="X86" s="726"/>
      <c r="AB86" s="726"/>
      <c r="AF86" s="726"/>
      <c r="AG86" s="726"/>
      <c r="AK86" s="726"/>
    </row>
    <row r="87" spans="4:37" x14ac:dyDescent="0.3">
      <c r="D87" s="726"/>
      <c r="H87" s="726"/>
      <c r="L87" s="726"/>
      <c r="P87" s="726"/>
      <c r="T87" s="726"/>
      <c r="X87" s="726"/>
      <c r="AB87" s="726"/>
      <c r="AF87" s="726"/>
      <c r="AG87" s="726"/>
      <c r="AK87" s="726"/>
    </row>
    <row r="88" spans="4:37" x14ac:dyDescent="0.3">
      <c r="D88" s="726"/>
      <c r="H88" s="726"/>
      <c r="L88" s="726"/>
      <c r="P88" s="726"/>
      <c r="T88" s="726"/>
      <c r="X88" s="726"/>
      <c r="AB88" s="726"/>
      <c r="AF88" s="726"/>
      <c r="AG88" s="726"/>
      <c r="AK88" s="726"/>
    </row>
    <row r="89" spans="4:37" x14ac:dyDescent="0.3">
      <c r="D89" s="726"/>
      <c r="H89" s="726"/>
      <c r="L89" s="726"/>
      <c r="P89" s="726"/>
      <c r="T89" s="726"/>
      <c r="X89" s="726"/>
      <c r="AB89" s="726"/>
      <c r="AF89" s="726"/>
      <c r="AG89" s="726"/>
      <c r="AK89" s="726"/>
    </row>
    <row r="90" spans="4:37" x14ac:dyDescent="0.3">
      <c r="D90" s="726"/>
      <c r="H90" s="726"/>
      <c r="L90" s="726"/>
      <c r="P90" s="726"/>
      <c r="T90" s="726"/>
      <c r="X90" s="726"/>
      <c r="AB90" s="726"/>
      <c r="AF90" s="726"/>
      <c r="AG90" s="726"/>
      <c r="AK90" s="726"/>
    </row>
    <row r="91" spans="4:37" x14ac:dyDescent="0.3">
      <c r="D91" s="726"/>
      <c r="H91" s="726"/>
      <c r="L91" s="726"/>
      <c r="P91" s="726"/>
      <c r="T91" s="726"/>
      <c r="X91" s="726"/>
      <c r="AB91" s="726"/>
      <c r="AF91" s="726"/>
      <c r="AG91" s="726"/>
      <c r="AK91" s="726"/>
    </row>
    <row r="92" spans="4:37" x14ac:dyDescent="0.3">
      <c r="D92" s="726"/>
      <c r="H92" s="726"/>
      <c r="L92" s="726"/>
      <c r="P92" s="726"/>
      <c r="T92" s="726"/>
      <c r="X92" s="726"/>
      <c r="AB92" s="726"/>
      <c r="AF92" s="726"/>
      <c r="AG92" s="726"/>
      <c r="AK92" s="726"/>
    </row>
    <row r="93" spans="4:37" x14ac:dyDescent="0.3">
      <c r="D93" s="726"/>
      <c r="H93" s="726"/>
      <c r="L93" s="726"/>
      <c r="P93" s="726"/>
      <c r="T93" s="726"/>
      <c r="X93" s="726"/>
      <c r="AB93" s="726"/>
      <c r="AF93" s="726"/>
      <c r="AG93" s="726"/>
      <c r="AK93" s="726"/>
    </row>
    <row r="94" spans="4:37" x14ac:dyDescent="0.3">
      <c r="D94" s="726"/>
      <c r="H94" s="726"/>
      <c r="L94" s="726"/>
      <c r="P94" s="726"/>
      <c r="T94" s="726"/>
      <c r="X94" s="726"/>
      <c r="AB94" s="726"/>
      <c r="AF94" s="726"/>
      <c r="AG94" s="726"/>
      <c r="AK94" s="726"/>
    </row>
    <row r="95" spans="4:37" x14ac:dyDescent="0.3">
      <c r="D95" s="726"/>
      <c r="H95" s="726"/>
      <c r="L95" s="726"/>
      <c r="P95" s="726"/>
      <c r="T95" s="726"/>
      <c r="X95" s="726"/>
      <c r="AB95" s="726"/>
      <c r="AF95" s="726"/>
      <c r="AG95" s="726"/>
      <c r="AK95" s="726"/>
    </row>
    <row r="96" spans="4:37" x14ac:dyDescent="0.3">
      <c r="D96" s="726"/>
      <c r="H96" s="726"/>
      <c r="L96" s="726"/>
      <c r="P96" s="726"/>
      <c r="T96" s="726"/>
      <c r="X96" s="726"/>
      <c r="AB96" s="726"/>
      <c r="AF96" s="726"/>
      <c r="AG96" s="726"/>
      <c r="AK96" s="726"/>
    </row>
    <row r="97" spans="4:37" x14ac:dyDescent="0.3">
      <c r="D97" s="726"/>
      <c r="H97" s="726"/>
      <c r="L97" s="726"/>
      <c r="P97" s="726"/>
      <c r="T97" s="726"/>
      <c r="X97" s="726"/>
      <c r="AB97" s="726"/>
      <c r="AF97" s="726"/>
      <c r="AG97" s="726"/>
      <c r="AK97" s="726"/>
    </row>
    <row r="98" spans="4:37" x14ac:dyDescent="0.3">
      <c r="D98" s="726"/>
      <c r="H98" s="726"/>
      <c r="L98" s="726"/>
      <c r="P98" s="726"/>
      <c r="T98" s="726"/>
      <c r="X98" s="726"/>
      <c r="AB98" s="726"/>
      <c r="AF98" s="726"/>
      <c r="AG98" s="726"/>
      <c r="AK98" s="726"/>
    </row>
    <row r="99" spans="4:37" x14ac:dyDescent="0.3">
      <c r="D99" s="726"/>
      <c r="H99" s="726"/>
      <c r="L99" s="726"/>
      <c r="P99" s="726"/>
      <c r="T99" s="726"/>
      <c r="X99" s="726"/>
      <c r="AB99" s="726"/>
      <c r="AF99" s="726"/>
      <c r="AG99" s="726"/>
      <c r="AK99" s="726"/>
    </row>
    <row r="100" spans="4:37" x14ac:dyDescent="0.3">
      <c r="D100" s="726" t="s">
        <v>1511</v>
      </c>
      <c r="E100" s="698">
        <v>30.35</v>
      </c>
      <c r="F100" s="698">
        <v>25</v>
      </c>
      <c r="H100" s="726"/>
      <c r="L100" s="726"/>
      <c r="P100" s="726"/>
      <c r="T100" s="726"/>
      <c r="X100" s="726"/>
      <c r="AB100" s="726"/>
      <c r="AF100" s="726"/>
      <c r="AG100" s="726"/>
      <c r="AK100" s="726"/>
    </row>
    <row r="101" spans="4:37" x14ac:dyDescent="0.3">
      <c r="D101" s="726"/>
      <c r="H101" s="726"/>
      <c r="L101" s="726"/>
      <c r="P101" s="726"/>
      <c r="T101" s="726"/>
      <c r="X101" s="726"/>
      <c r="AB101" s="726"/>
      <c r="AF101" s="726"/>
      <c r="AG101" s="726"/>
      <c r="AK101" s="726"/>
    </row>
    <row r="102" spans="4:37" x14ac:dyDescent="0.3">
      <c r="D102" s="726"/>
      <c r="H102" s="726"/>
      <c r="L102" s="726"/>
      <c r="P102" s="726"/>
      <c r="T102" s="726"/>
      <c r="X102" s="726"/>
      <c r="AB102" s="726"/>
      <c r="AF102" s="726"/>
      <c r="AG102" s="726"/>
      <c r="AK102" s="726"/>
    </row>
    <row r="103" spans="4:37" x14ac:dyDescent="0.3">
      <c r="D103" s="726"/>
      <c r="H103" s="726"/>
      <c r="L103" s="726"/>
      <c r="P103" s="726"/>
      <c r="T103" s="726"/>
      <c r="X103" s="726"/>
      <c r="AB103" s="726"/>
      <c r="AF103" s="726"/>
      <c r="AG103" s="726"/>
      <c r="AK103" s="726"/>
    </row>
    <row r="104" spans="4:37" x14ac:dyDescent="0.3">
      <c r="D104" s="726"/>
      <c r="H104" s="726"/>
      <c r="L104" s="726"/>
      <c r="P104" s="726"/>
      <c r="T104" s="726"/>
      <c r="X104" s="726"/>
      <c r="AB104" s="726"/>
      <c r="AF104" s="726"/>
      <c r="AG104" s="726"/>
      <c r="AK104" s="726"/>
    </row>
    <row r="105" spans="4:37" x14ac:dyDescent="0.3">
      <c r="D105" s="726"/>
      <c r="H105" s="726"/>
      <c r="L105" s="726"/>
      <c r="P105" s="726"/>
      <c r="T105" s="726"/>
      <c r="X105" s="726"/>
      <c r="AB105" s="726"/>
      <c r="AF105" s="726"/>
      <c r="AG105" s="726"/>
      <c r="AK105" s="726"/>
    </row>
    <row r="106" spans="4:37" x14ac:dyDescent="0.3">
      <c r="D106" s="726"/>
      <c r="H106" s="726"/>
      <c r="L106" s="726"/>
      <c r="P106" s="726"/>
      <c r="T106" s="726"/>
      <c r="X106" s="726"/>
      <c r="AB106" s="726"/>
      <c r="AF106" s="726"/>
      <c r="AG106" s="726"/>
      <c r="AK106" s="726"/>
    </row>
    <row r="107" spans="4:37" x14ac:dyDescent="0.3">
      <c r="D107" s="726"/>
      <c r="H107" s="726"/>
      <c r="L107" s="726"/>
      <c r="P107" s="726"/>
      <c r="T107" s="726"/>
      <c r="X107" s="726"/>
      <c r="AB107" s="726"/>
      <c r="AF107" s="726"/>
      <c r="AG107" s="726"/>
      <c r="AK107" s="726"/>
    </row>
    <row r="108" spans="4:37" x14ac:dyDescent="0.3">
      <c r="D108" s="726"/>
      <c r="H108" s="726"/>
      <c r="L108" s="726"/>
      <c r="P108" s="726"/>
      <c r="T108" s="726"/>
      <c r="X108" s="726"/>
      <c r="AB108" s="726"/>
      <c r="AF108" s="726"/>
      <c r="AG108" s="726"/>
      <c r="AK108" s="726"/>
    </row>
    <row r="109" spans="4:37" x14ac:dyDescent="0.3">
      <c r="D109" s="726"/>
      <c r="H109" s="726"/>
      <c r="L109" s="726"/>
      <c r="P109" s="726"/>
      <c r="T109" s="726"/>
      <c r="X109" s="726"/>
      <c r="AB109" s="726"/>
      <c r="AF109" s="726"/>
      <c r="AG109" s="726"/>
      <c r="AK109" s="726"/>
    </row>
    <row r="110" spans="4:37" x14ac:dyDescent="0.3">
      <c r="D110" s="726"/>
      <c r="H110" s="726"/>
      <c r="L110" s="726"/>
      <c r="P110" s="726"/>
      <c r="T110" s="726"/>
      <c r="X110" s="726"/>
      <c r="AB110" s="726"/>
      <c r="AF110" s="726"/>
      <c r="AG110" s="726"/>
      <c r="AK110" s="726"/>
    </row>
    <row r="111" spans="4:37" x14ac:dyDescent="0.3">
      <c r="D111" s="726"/>
      <c r="H111" s="726"/>
      <c r="L111" s="726"/>
      <c r="P111" s="726"/>
      <c r="T111" s="726"/>
      <c r="X111" s="726"/>
      <c r="AB111" s="726"/>
      <c r="AF111" s="726"/>
      <c r="AG111" s="726"/>
      <c r="AK111" s="726"/>
    </row>
    <row r="112" spans="4:37" x14ac:dyDescent="0.3">
      <c r="D112" s="726"/>
      <c r="H112" s="726"/>
      <c r="L112" s="726"/>
      <c r="P112" s="726"/>
      <c r="T112" s="726"/>
      <c r="X112" s="726"/>
      <c r="AB112" s="726"/>
      <c r="AF112" s="726"/>
      <c r="AG112" s="726"/>
      <c r="AK112" s="726"/>
    </row>
    <row r="113" spans="4:37" x14ac:dyDescent="0.3">
      <c r="D113" s="726"/>
      <c r="H113" s="726"/>
      <c r="L113" s="726"/>
      <c r="P113" s="726"/>
      <c r="T113" s="726"/>
      <c r="X113" s="726"/>
      <c r="AB113" s="726"/>
      <c r="AF113" s="726"/>
      <c r="AG113" s="726"/>
      <c r="AK113" s="726"/>
    </row>
    <row r="114" spans="4:37" x14ac:dyDescent="0.3">
      <c r="D114" s="726"/>
      <c r="H114" s="726"/>
      <c r="L114" s="726"/>
      <c r="P114" s="726"/>
      <c r="T114" s="726"/>
      <c r="X114" s="726"/>
      <c r="AB114" s="726"/>
      <c r="AF114" s="726"/>
      <c r="AG114" s="726"/>
      <c r="AK114" s="726"/>
    </row>
    <row r="115" spans="4:37" x14ac:dyDescent="0.3">
      <c r="D115" s="726"/>
      <c r="H115" s="726"/>
      <c r="L115" s="726"/>
      <c r="P115" s="726"/>
      <c r="T115" s="726"/>
      <c r="X115" s="726"/>
      <c r="AB115" s="726"/>
      <c r="AF115" s="726"/>
      <c r="AG115" s="726"/>
      <c r="AK115" s="726"/>
    </row>
    <row r="116" spans="4:37" x14ac:dyDescent="0.3">
      <c r="D116" s="726"/>
      <c r="H116" s="726"/>
      <c r="L116" s="726"/>
      <c r="P116" s="726"/>
      <c r="T116" s="726"/>
      <c r="X116" s="726"/>
      <c r="AB116" s="726"/>
      <c r="AF116" s="726"/>
      <c r="AG116" s="726"/>
      <c r="AK116" s="726"/>
    </row>
    <row r="117" spans="4:37" x14ac:dyDescent="0.3">
      <c r="D117" s="726"/>
      <c r="H117" s="726"/>
      <c r="L117" s="726"/>
      <c r="P117" s="726"/>
      <c r="T117" s="726"/>
      <c r="X117" s="726"/>
      <c r="AB117" s="726"/>
      <c r="AF117" s="726"/>
      <c r="AG117" s="726"/>
      <c r="AK117" s="726"/>
    </row>
    <row r="118" spans="4:37" x14ac:dyDescent="0.3">
      <c r="D118" s="726"/>
      <c r="H118" s="726"/>
      <c r="L118" s="726"/>
      <c r="P118" s="726"/>
      <c r="T118" s="726"/>
      <c r="X118" s="726"/>
      <c r="AB118" s="726"/>
      <c r="AF118" s="726"/>
      <c r="AG118" s="726"/>
      <c r="AK118" s="726"/>
    </row>
    <row r="119" spans="4:37" x14ac:dyDescent="0.3">
      <c r="D119" s="726"/>
      <c r="H119" s="726"/>
      <c r="L119" s="726"/>
      <c r="P119" s="726"/>
      <c r="T119" s="726"/>
      <c r="X119" s="726"/>
      <c r="AB119" s="726"/>
      <c r="AF119" s="726"/>
      <c r="AG119" s="726"/>
      <c r="AK119" s="726"/>
    </row>
    <row r="120" spans="4:37" x14ac:dyDescent="0.3">
      <c r="D120" s="726"/>
      <c r="H120" s="726"/>
      <c r="L120" s="726"/>
      <c r="P120" s="726"/>
      <c r="T120" s="726"/>
      <c r="X120" s="726"/>
      <c r="AB120" s="726"/>
      <c r="AF120" s="726"/>
      <c r="AG120" s="726"/>
      <c r="AK120" s="726"/>
    </row>
    <row r="121" spans="4:37" x14ac:dyDescent="0.3">
      <c r="D121" s="726"/>
      <c r="H121" s="726"/>
      <c r="L121" s="726"/>
      <c r="P121" s="726"/>
      <c r="T121" s="726"/>
      <c r="X121" s="726"/>
      <c r="AB121" s="726"/>
      <c r="AF121" s="726"/>
      <c r="AG121" s="726"/>
      <c r="AK121" s="726"/>
    </row>
    <row r="122" spans="4:37" x14ac:dyDescent="0.3">
      <c r="D122" s="726"/>
      <c r="H122" s="726"/>
      <c r="L122" s="726"/>
      <c r="P122" s="726"/>
      <c r="T122" s="726"/>
      <c r="X122" s="726"/>
      <c r="AB122" s="726"/>
      <c r="AF122" s="726"/>
      <c r="AG122" s="726"/>
      <c r="AK122" s="726"/>
    </row>
    <row r="123" spans="4:37" x14ac:dyDescent="0.3">
      <c r="D123" s="726"/>
      <c r="H123" s="726"/>
      <c r="L123" s="726"/>
      <c r="P123" s="726"/>
      <c r="T123" s="726"/>
      <c r="X123" s="726"/>
      <c r="AB123" s="726"/>
      <c r="AF123" s="726"/>
      <c r="AG123" s="726"/>
      <c r="AK123" s="726"/>
    </row>
    <row r="124" spans="4:37" x14ac:dyDescent="0.3">
      <c r="D124" s="726"/>
      <c r="H124" s="726"/>
      <c r="L124" s="726"/>
      <c r="P124" s="726"/>
      <c r="T124" s="726"/>
      <c r="X124" s="726"/>
      <c r="AB124" s="726"/>
      <c r="AF124" s="726"/>
      <c r="AG124" s="726"/>
      <c r="AK124" s="726"/>
    </row>
    <row r="125" spans="4:37" x14ac:dyDescent="0.3">
      <c r="D125" s="726"/>
      <c r="H125" s="726"/>
      <c r="L125" s="726"/>
      <c r="P125" s="726"/>
      <c r="T125" s="726"/>
      <c r="X125" s="726"/>
      <c r="AB125" s="726"/>
      <c r="AF125" s="726"/>
      <c r="AG125" s="726"/>
      <c r="AK125" s="726"/>
    </row>
    <row r="126" spans="4:37" x14ac:dyDescent="0.3">
      <c r="D126" s="726"/>
      <c r="H126" s="726"/>
      <c r="L126" s="726"/>
      <c r="P126" s="726"/>
      <c r="T126" s="726"/>
      <c r="X126" s="726"/>
      <c r="AB126" s="726"/>
      <c r="AF126" s="726"/>
      <c r="AG126" s="726"/>
      <c r="AK126" s="726"/>
    </row>
    <row r="127" spans="4:37" x14ac:dyDescent="0.3">
      <c r="D127" s="726"/>
      <c r="H127" s="726"/>
      <c r="L127" s="726"/>
      <c r="P127" s="726"/>
      <c r="T127" s="726"/>
      <c r="X127" s="726"/>
      <c r="AB127" s="726"/>
      <c r="AF127" s="726"/>
      <c r="AG127" s="726"/>
      <c r="AK127" s="726"/>
    </row>
    <row r="128" spans="4:37" x14ac:dyDescent="0.3">
      <c r="D128" s="726"/>
      <c r="H128" s="726"/>
      <c r="L128" s="726"/>
      <c r="P128" s="726"/>
      <c r="T128" s="726"/>
      <c r="X128" s="726"/>
      <c r="AB128" s="726"/>
      <c r="AF128" s="726"/>
      <c r="AG128" s="726"/>
      <c r="AK128" s="726"/>
    </row>
    <row r="129" spans="4:37" x14ac:dyDescent="0.3">
      <c r="D129" s="726"/>
      <c r="H129" s="726"/>
      <c r="L129" s="726"/>
      <c r="P129" s="726"/>
      <c r="T129" s="726"/>
      <c r="X129" s="726"/>
      <c r="AB129" s="726"/>
      <c r="AF129" s="726"/>
      <c r="AG129" s="726"/>
      <c r="AK129" s="726"/>
    </row>
    <row r="130" spans="4:37" x14ac:dyDescent="0.3">
      <c r="D130" s="726"/>
      <c r="H130" s="726"/>
      <c r="L130" s="726"/>
      <c r="P130" s="726"/>
      <c r="T130" s="726"/>
      <c r="X130" s="726"/>
      <c r="AB130" s="726"/>
      <c r="AF130" s="726"/>
      <c r="AG130" s="726"/>
      <c r="AK130" s="726"/>
    </row>
    <row r="131" spans="4:37" x14ac:dyDescent="0.3">
      <c r="D131" s="726"/>
      <c r="H131" s="726"/>
      <c r="L131" s="726"/>
      <c r="P131" s="726"/>
      <c r="T131" s="726"/>
      <c r="X131" s="726"/>
      <c r="AB131" s="726"/>
      <c r="AF131" s="726"/>
      <c r="AG131" s="726"/>
      <c r="AK131" s="726"/>
    </row>
    <row r="132" spans="4:37" x14ac:dyDescent="0.3">
      <c r="D132" s="726"/>
      <c r="H132" s="726"/>
      <c r="L132" s="726"/>
      <c r="P132" s="726"/>
      <c r="T132" s="726"/>
      <c r="X132" s="726"/>
      <c r="AB132" s="726"/>
      <c r="AF132" s="726"/>
      <c r="AG132" s="726"/>
      <c r="AK132" s="726"/>
    </row>
    <row r="133" spans="4:37" x14ac:dyDescent="0.3">
      <c r="D133" s="726"/>
      <c r="H133" s="726"/>
      <c r="L133" s="726"/>
      <c r="P133" s="726"/>
      <c r="T133" s="726"/>
      <c r="X133" s="726"/>
      <c r="AB133" s="726"/>
      <c r="AF133" s="726"/>
      <c r="AG133" s="726"/>
      <c r="AK133" s="726"/>
    </row>
    <row r="134" spans="4:37" x14ac:dyDescent="0.3">
      <c r="D134" s="726"/>
      <c r="H134" s="726"/>
      <c r="L134" s="726"/>
      <c r="P134" s="726"/>
      <c r="T134" s="726"/>
      <c r="X134" s="726"/>
      <c r="AB134" s="726"/>
      <c r="AF134" s="726"/>
      <c r="AG134" s="726"/>
      <c r="AK134" s="726"/>
    </row>
    <row r="135" spans="4:37" x14ac:dyDescent="0.3">
      <c r="D135" s="726"/>
      <c r="H135" s="726"/>
      <c r="L135" s="726"/>
      <c r="P135" s="726"/>
      <c r="T135" s="726"/>
      <c r="X135" s="726"/>
      <c r="AB135" s="726"/>
      <c r="AF135" s="726"/>
      <c r="AG135" s="726"/>
      <c r="AK135" s="726"/>
    </row>
    <row r="136" spans="4:37" x14ac:dyDescent="0.3">
      <c r="D136" s="726"/>
      <c r="H136" s="726"/>
      <c r="L136" s="726"/>
      <c r="P136" s="726"/>
      <c r="T136" s="726"/>
      <c r="X136" s="726"/>
      <c r="AB136" s="726"/>
      <c r="AF136" s="726"/>
      <c r="AG136" s="726"/>
      <c r="AK136" s="726"/>
    </row>
    <row r="137" spans="4:37" x14ac:dyDescent="0.3">
      <c r="D137" s="726"/>
      <c r="H137" s="726"/>
      <c r="L137" s="726"/>
      <c r="P137" s="726"/>
      <c r="T137" s="726"/>
      <c r="X137" s="726"/>
      <c r="AB137" s="726"/>
      <c r="AF137" s="726"/>
      <c r="AG137" s="726"/>
      <c r="AK137" s="726"/>
    </row>
    <row r="138" spans="4:37" x14ac:dyDescent="0.3">
      <c r="D138" s="726"/>
      <c r="H138" s="726"/>
      <c r="L138" s="726"/>
      <c r="P138" s="726"/>
      <c r="T138" s="726"/>
      <c r="X138" s="726"/>
      <c r="AB138" s="726"/>
      <c r="AF138" s="726"/>
      <c r="AG138" s="726"/>
      <c r="AK138" s="726"/>
    </row>
    <row r="139" spans="4:37" x14ac:dyDescent="0.3">
      <c r="D139" s="726"/>
      <c r="H139" s="726"/>
      <c r="L139" s="726"/>
      <c r="P139" s="726"/>
      <c r="T139" s="726"/>
      <c r="X139" s="726"/>
      <c r="AB139" s="726"/>
      <c r="AF139" s="726"/>
      <c r="AG139" s="726"/>
      <c r="AK139" s="726"/>
    </row>
    <row r="140" spans="4:37" x14ac:dyDescent="0.3">
      <c r="D140" s="726"/>
      <c r="H140" s="726"/>
      <c r="L140" s="726"/>
      <c r="P140" s="726"/>
      <c r="T140" s="726"/>
      <c r="X140" s="726"/>
      <c r="AB140" s="726"/>
      <c r="AF140" s="726"/>
      <c r="AG140" s="726"/>
      <c r="AK140" s="726"/>
    </row>
    <row r="141" spans="4:37" x14ac:dyDescent="0.3">
      <c r="D141" s="726"/>
      <c r="H141" s="726"/>
      <c r="L141" s="726"/>
      <c r="P141" s="726"/>
      <c r="T141" s="726"/>
      <c r="X141" s="726"/>
      <c r="AB141" s="726"/>
      <c r="AF141" s="726"/>
      <c r="AG141" s="726"/>
      <c r="AK141" s="726"/>
    </row>
    <row r="142" spans="4:37" x14ac:dyDescent="0.3">
      <c r="D142" s="726"/>
      <c r="H142" s="726"/>
      <c r="L142" s="726"/>
      <c r="P142" s="726"/>
      <c r="T142" s="726"/>
      <c r="X142" s="726"/>
      <c r="AB142" s="726"/>
      <c r="AF142" s="726"/>
      <c r="AG142" s="726"/>
      <c r="AK142" s="726"/>
    </row>
    <row r="143" spans="4:37" x14ac:dyDescent="0.3">
      <c r="D143" s="726"/>
      <c r="H143" s="726"/>
      <c r="L143" s="726"/>
      <c r="P143" s="726"/>
      <c r="T143" s="726"/>
      <c r="X143" s="726"/>
      <c r="AB143" s="726"/>
      <c r="AF143" s="726"/>
      <c r="AG143" s="726"/>
      <c r="AK143" s="726"/>
    </row>
    <row r="144" spans="4:37" x14ac:dyDescent="0.3">
      <c r="D144" s="726"/>
      <c r="H144" s="726"/>
      <c r="L144" s="726"/>
      <c r="P144" s="726"/>
      <c r="T144" s="726"/>
      <c r="X144" s="726"/>
      <c r="AB144" s="726"/>
      <c r="AF144" s="726"/>
      <c r="AG144" s="726"/>
      <c r="AK144" s="726"/>
    </row>
    <row r="145" spans="4:37" x14ac:dyDescent="0.3">
      <c r="D145" s="726"/>
      <c r="H145" s="726"/>
      <c r="L145" s="726"/>
      <c r="P145" s="726"/>
      <c r="T145" s="726"/>
      <c r="X145" s="726"/>
      <c r="AB145" s="726"/>
      <c r="AF145" s="726"/>
      <c r="AG145" s="726"/>
      <c r="AK145" s="726"/>
    </row>
    <row r="146" spans="4:37" x14ac:dyDescent="0.3">
      <c r="D146" s="726"/>
      <c r="H146" s="726"/>
      <c r="L146" s="726"/>
      <c r="P146" s="726"/>
      <c r="T146" s="726"/>
      <c r="X146" s="726"/>
      <c r="AB146" s="726"/>
      <c r="AF146" s="726"/>
      <c r="AG146" s="726"/>
      <c r="AK146" s="726"/>
    </row>
    <row r="147" spans="4:37" x14ac:dyDescent="0.3">
      <c r="D147" s="726"/>
      <c r="H147" s="726"/>
      <c r="L147" s="726"/>
      <c r="P147" s="726"/>
      <c r="T147" s="726"/>
      <c r="X147" s="726"/>
      <c r="AB147" s="726"/>
      <c r="AF147" s="726"/>
      <c r="AG147" s="726"/>
      <c r="AK147" s="726"/>
    </row>
    <row r="148" spans="4:37" x14ac:dyDescent="0.3">
      <c r="D148" s="726"/>
      <c r="H148" s="726"/>
      <c r="L148" s="726"/>
      <c r="P148" s="726"/>
      <c r="T148" s="726"/>
      <c r="X148" s="726"/>
      <c r="AB148" s="726"/>
      <c r="AF148" s="726"/>
      <c r="AG148" s="726"/>
      <c r="AK148" s="726"/>
    </row>
    <row r="149" spans="4:37" x14ac:dyDescent="0.3">
      <c r="D149" s="726"/>
      <c r="H149" s="726"/>
      <c r="L149" s="726"/>
      <c r="P149" s="726"/>
      <c r="T149" s="726"/>
      <c r="X149" s="726"/>
      <c r="AB149" s="726"/>
      <c r="AF149" s="726"/>
      <c r="AG149" s="726"/>
      <c r="AK149" s="726"/>
    </row>
    <row r="150" spans="4:37" x14ac:dyDescent="0.3">
      <c r="D150" s="726"/>
      <c r="H150" s="726"/>
      <c r="L150" s="726"/>
      <c r="P150" s="726"/>
      <c r="T150" s="726"/>
      <c r="X150" s="726"/>
      <c r="AB150" s="726"/>
      <c r="AF150" s="726"/>
      <c r="AG150" s="726"/>
      <c r="AK150" s="726"/>
    </row>
    <row r="151" spans="4:37" x14ac:dyDescent="0.3">
      <c r="D151" s="726"/>
      <c r="H151" s="726"/>
      <c r="L151" s="726"/>
      <c r="P151" s="726"/>
      <c r="T151" s="726"/>
      <c r="X151" s="726"/>
      <c r="AB151" s="726"/>
      <c r="AF151" s="726"/>
      <c r="AG151" s="726"/>
      <c r="AK151" s="726"/>
    </row>
    <row r="152" spans="4:37" x14ac:dyDescent="0.3">
      <c r="D152" s="726"/>
      <c r="H152" s="726"/>
      <c r="L152" s="726"/>
      <c r="P152" s="726"/>
      <c r="T152" s="726"/>
      <c r="X152" s="726"/>
      <c r="AB152" s="726"/>
      <c r="AF152" s="726"/>
      <c r="AG152" s="726"/>
      <c r="AK152" s="726"/>
    </row>
    <row r="153" spans="4:37" x14ac:dyDescent="0.3">
      <c r="D153" s="726"/>
      <c r="H153" s="726"/>
      <c r="L153" s="726"/>
      <c r="P153" s="726"/>
      <c r="T153" s="726"/>
      <c r="X153" s="726"/>
      <c r="AB153" s="726"/>
      <c r="AF153" s="726"/>
      <c r="AG153" s="726"/>
      <c r="AK153" s="726"/>
    </row>
    <row r="154" spans="4:37" x14ac:dyDescent="0.3">
      <c r="D154" s="726"/>
      <c r="H154" s="726"/>
      <c r="L154" s="726"/>
      <c r="P154" s="726"/>
      <c r="T154" s="726"/>
      <c r="X154" s="726"/>
      <c r="AB154" s="726"/>
      <c r="AF154" s="726"/>
      <c r="AG154" s="726"/>
      <c r="AK154" s="726"/>
    </row>
    <row r="155" spans="4:37" x14ac:dyDescent="0.3">
      <c r="D155" s="726"/>
      <c r="H155" s="726"/>
      <c r="L155" s="726"/>
      <c r="P155" s="726"/>
      <c r="T155" s="726"/>
      <c r="X155" s="726"/>
      <c r="AB155" s="726"/>
      <c r="AF155" s="726"/>
      <c r="AG155" s="726"/>
      <c r="AK155" s="726"/>
    </row>
    <row r="156" spans="4:37" x14ac:dyDescent="0.3">
      <c r="D156" s="726"/>
      <c r="H156" s="726"/>
      <c r="L156" s="726"/>
      <c r="P156" s="726"/>
      <c r="T156" s="726"/>
      <c r="X156" s="726"/>
      <c r="AB156" s="726"/>
      <c r="AF156" s="726"/>
      <c r="AG156" s="726"/>
      <c r="AK156" s="726"/>
    </row>
    <row r="157" spans="4:37" x14ac:dyDescent="0.3">
      <c r="D157" s="726"/>
      <c r="H157" s="726"/>
      <c r="L157" s="726"/>
      <c r="P157" s="726"/>
      <c r="T157" s="726"/>
      <c r="X157" s="726"/>
      <c r="AB157" s="726"/>
      <c r="AF157" s="726"/>
      <c r="AG157" s="726"/>
      <c r="AK157" s="726"/>
    </row>
    <row r="158" spans="4:37" x14ac:dyDescent="0.3">
      <c r="D158" s="726"/>
      <c r="H158" s="726"/>
      <c r="L158" s="726"/>
      <c r="P158" s="726"/>
      <c r="T158" s="726"/>
      <c r="X158" s="726"/>
      <c r="AB158" s="726"/>
      <c r="AF158" s="726"/>
      <c r="AG158" s="726"/>
      <c r="AK158" s="726"/>
    </row>
    <row r="159" spans="4:37" x14ac:dyDescent="0.3">
      <c r="D159" s="726"/>
      <c r="H159" s="726"/>
      <c r="L159" s="726"/>
      <c r="P159" s="726"/>
      <c r="T159" s="726"/>
      <c r="X159" s="726"/>
      <c r="AB159" s="726"/>
      <c r="AF159" s="726"/>
      <c r="AG159" s="726"/>
      <c r="AK159" s="726"/>
    </row>
    <row r="160" spans="4:37" x14ac:dyDescent="0.3">
      <c r="D160" s="726"/>
      <c r="H160" s="726"/>
      <c r="L160" s="726"/>
      <c r="P160" s="726"/>
      <c r="T160" s="726"/>
      <c r="X160" s="726"/>
      <c r="AB160" s="726"/>
      <c r="AF160" s="726"/>
      <c r="AG160" s="726"/>
      <c r="AK160" s="726"/>
    </row>
    <row r="161" spans="4:37" x14ac:dyDescent="0.3">
      <c r="D161" s="726"/>
      <c r="H161" s="726"/>
      <c r="L161" s="726"/>
      <c r="P161" s="726"/>
      <c r="T161" s="726"/>
      <c r="X161" s="726"/>
      <c r="AB161" s="726"/>
      <c r="AF161" s="726"/>
      <c r="AG161" s="726"/>
      <c r="AK161" s="726"/>
    </row>
    <row r="162" spans="4:37" x14ac:dyDescent="0.3">
      <c r="D162" s="726"/>
      <c r="H162" s="726"/>
      <c r="L162" s="726"/>
      <c r="P162" s="726"/>
      <c r="T162" s="726"/>
      <c r="X162" s="726"/>
      <c r="AB162" s="726"/>
      <c r="AF162" s="726"/>
      <c r="AG162" s="726"/>
      <c r="AK162" s="726"/>
    </row>
    <row r="163" spans="4:37" x14ac:dyDescent="0.3">
      <c r="D163" s="726"/>
      <c r="H163" s="726"/>
      <c r="L163" s="726"/>
      <c r="P163" s="726"/>
      <c r="T163" s="726"/>
      <c r="X163" s="726"/>
      <c r="AB163" s="726"/>
      <c r="AF163" s="726"/>
      <c r="AG163" s="726"/>
      <c r="AK163" s="726"/>
    </row>
    <row r="164" spans="4:37" x14ac:dyDescent="0.3">
      <c r="D164" s="726"/>
      <c r="H164" s="726"/>
      <c r="L164" s="726"/>
      <c r="P164" s="726"/>
      <c r="T164" s="726"/>
      <c r="X164" s="726"/>
      <c r="AB164" s="726"/>
      <c r="AF164" s="726"/>
      <c r="AG164" s="726"/>
      <c r="AK164" s="726"/>
    </row>
    <row r="165" spans="4:37" x14ac:dyDescent="0.3">
      <c r="D165" s="726"/>
      <c r="H165" s="726"/>
      <c r="L165" s="726"/>
      <c r="P165" s="726"/>
      <c r="T165" s="726"/>
      <c r="X165" s="726"/>
      <c r="AB165" s="726"/>
      <c r="AF165" s="726"/>
      <c r="AG165" s="726"/>
      <c r="AK165" s="726"/>
    </row>
    <row r="166" spans="4:37" x14ac:dyDescent="0.3">
      <c r="D166" s="726"/>
      <c r="H166" s="726"/>
      <c r="L166" s="726"/>
      <c r="P166" s="726"/>
      <c r="T166" s="726"/>
      <c r="X166" s="726"/>
      <c r="AB166" s="726"/>
      <c r="AF166" s="726"/>
      <c r="AG166" s="726"/>
      <c r="AK166" s="726"/>
    </row>
    <row r="167" spans="4:37" x14ac:dyDescent="0.3">
      <c r="D167" s="726"/>
      <c r="H167" s="726"/>
      <c r="L167" s="726"/>
      <c r="P167" s="726"/>
      <c r="T167" s="726"/>
      <c r="X167" s="726"/>
      <c r="AB167" s="726"/>
      <c r="AF167" s="726"/>
      <c r="AG167" s="726"/>
      <c r="AK167" s="726"/>
    </row>
    <row r="168" spans="4:37" x14ac:dyDescent="0.3">
      <c r="D168" s="726"/>
      <c r="H168" s="726"/>
      <c r="L168" s="726"/>
      <c r="P168" s="726"/>
      <c r="T168" s="726"/>
      <c r="X168" s="726"/>
      <c r="AB168" s="726"/>
      <c r="AF168" s="726"/>
      <c r="AG168" s="726"/>
      <c r="AK168" s="726"/>
    </row>
    <row r="169" spans="4:37" x14ac:dyDescent="0.3">
      <c r="D169" s="726"/>
      <c r="H169" s="726"/>
      <c r="L169" s="726"/>
      <c r="P169" s="726"/>
      <c r="T169" s="726"/>
      <c r="X169" s="726"/>
      <c r="AB169" s="726"/>
      <c r="AF169" s="726"/>
      <c r="AG169" s="726"/>
      <c r="AK169" s="726"/>
    </row>
    <row r="170" spans="4:37" x14ac:dyDescent="0.3">
      <c r="D170" s="726"/>
      <c r="H170" s="726"/>
      <c r="L170" s="726"/>
      <c r="P170" s="726"/>
      <c r="T170" s="726"/>
      <c r="X170" s="726"/>
      <c r="AB170" s="726"/>
      <c r="AF170" s="726"/>
      <c r="AG170" s="726"/>
      <c r="AK170" s="726"/>
    </row>
    <row r="171" spans="4:37" x14ac:dyDescent="0.3">
      <c r="D171" s="726"/>
      <c r="H171" s="726"/>
      <c r="L171" s="726"/>
      <c r="P171" s="726"/>
      <c r="T171" s="726"/>
      <c r="X171" s="726"/>
      <c r="AB171" s="726"/>
      <c r="AF171" s="726"/>
      <c r="AG171" s="726"/>
      <c r="AK171" s="726"/>
    </row>
    <row r="172" spans="4:37" x14ac:dyDescent="0.3">
      <c r="D172" s="726"/>
      <c r="H172" s="726"/>
      <c r="L172" s="726"/>
      <c r="P172" s="726"/>
      <c r="T172" s="726"/>
      <c r="X172" s="726"/>
      <c r="AB172" s="726"/>
      <c r="AF172" s="726"/>
      <c r="AG172" s="726"/>
      <c r="AK172" s="726"/>
    </row>
    <row r="173" spans="4:37" x14ac:dyDescent="0.3">
      <c r="D173" s="726"/>
      <c r="H173" s="726"/>
      <c r="L173" s="726"/>
      <c r="P173" s="726"/>
      <c r="T173" s="726"/>
      <c r="X173" s="726"/>
      <c r="AB173" s="726"/>
      <c r="AF173" s="726"/>
      <c r="AG173" s="726"/>
      <c r="AK173" s="726"/>
    </row>
    <row r="174" spans="4:37" x14ac:dyDescent="0.3">
      <c r="D174" s="726"/>
      <c r="H174" s="726"/>
      <c r="L174" s="726"/>
      <c r="P174" s="726"/>
      <c r="T174" s="726"/>
      <c r="X174" s="726"/>
      <c r="AB174" s="726"/>
      <c r="AF174" s="726"/>
      <c r="AG174" s="726"/>
      <c r="AK174" s="726"/>
    </row>
    <row r="175" spans="4:37" x14ac:dyDescent="0.3">
      <c r="D175" s="726"/>
      <c r="H175" s="726"/>
      <c r="L175" s="726"/>
      <c r="P175" s="726"/>
      <c r="T175" s="726"/>
      <c r="X175" s="726"/>
      <c r="AB175" s="726"/>
      <c r="AF175" s="726"/>
      <c r="AG175" s="726"/>
      <c r="AK175" s="726"/>
    </row>
    <row r="176" spans="4:37" x14ac:dyDescent="0.3">
      <c r="D176" s="726"/>
      <c r="H176" s="726"/>
      <c r="L176" s="726"/>
      <c r="P176" s="726"/>
      <c r="T176" s="726"/>
      <c r="X176" s="726"/>
      <c r="AB176" s="726"/>
      <c r="AF176" s="726"/>
      <c r="AG176" s="726"/>
      <c r="AK176" s="726"/>
    </row>
    <row r="177" spans="4:37" x14ac:dyDescent="0.3">
      <c r="D177" s="726"/>
      <c r="H177" s="726"/>
      <c r="L177" s="726"/>
      <c r="P177" s="726"/>
      <c r="T177" s="726"/>
      <c r="X177" s="726"/>
      <c r="AB177" s="726"/>
      <c r="AF177" s="726"/>
      <c r="AG177" s="726"/>
      <c r="AK177" s="726"/>
    </row>
    <row r="178" spans="4:37" x14ac:dyDescent="0.3">
      <c r="D178" s="726"/>
      <c r="H178" s="726"/>
      <c r="L178" s="726"/>
      <c r="P178" s="726"/>
      <c r="T178" s="726"/>
      <c r="X178" s="726"/>
      <c r="AB178" s="726"/>
      <c r="AF178" s="726"/>
      <c r="AG178" s="726"/>
      <c r="AK178" s="726"/>
    </row>
    <row r="179" spans="4:37" x14ac:dyDescent="0.3">
      <c r="D179" s="726"/>
      <c r="H179" s="726"/>
      <c r="L179" s="726"/>
      <c r="P179" s="726"/>
      <c r="T179" s="726"/>
      <c r="X179" s="726"/>
      <c r="AB179" s="726"/>
      <c r="AF179" s="726"/>
      <c r="AG179" s="726"/>
      <c r="AK179" s="726"/>
    </row>
    <row r="180" spans="4:37" x14ac:dyDescent="0.3">
      <c r="D180" s="726"/>
      <c r="H180" s="726"/>
      <c r="L180" s="726"/>
      <c r="P180" s="726"/>
      <c r="T180" s="726"/>
      <c r="X180" s="726"/>
      <c r="AB180" s="726"/>
      <c r="AF180" s="726"/>
      <c r="AG180" s="726"/>
      <c r="AK180" s="726"/>
    </row>
    <row r="181" spans="4:37" x14ac:dyDescent="0.3">
      <c r="D181" s="726"/>
      <c r="H181" s="726"/>
      <c r="L181" s="726"/>
      <c r="P181" s="726"/>
      <c r="T181" s="726"/>
      <c r="X181" s="726"/>
      <c r="AB181" s="726"/>
      <c r="AF181" s="726"/>
      <c r="AG181" s="726"/>
      <c r="AK181" s="726"/>
    </row>
    <row r="182" spans="4:37" x14ac:dyDescent="0.3">
      <c r="D182" s="726"/>
      <c r="H182" s="726"/>
      <c r="L182" s="726"/>
      <c r="P182" s="726"/>
      <c r="T182" s="726"/>
      <c r="X182" s="726"/>
      <c r="AB182" s="726"/>
      <c r="AF182" s="726"/>
      <c r="AG182" s="726"/>
      <c r="AK182" s="726"/>
    </row>
    <row r="183" spans="4:37" x14ac:dyDescent="0.3">
      <c r="D183" s="726"/>
      <c r="H183" s="726"/>
      <c r="L183" s="726"/>
      <c r="P183" s="726"/>
      <c r="T183" s="726"/>
      <c r="X183" s="726"/>
      <c r="AB183" s="726"/>
      <c r="AF183" s="726"/>
      <c r="AG183" s="726"/>
      <c r="AK183" s="726"/>
    </row>
    <row r="184" spans="4:37" x14ac:dyDescent="0.3">
      <c r="D184" s="726"/>
      <c r="H184" s="726"/>
      <c r="L184" s="726"/>
      <c r="P184" s="726"/>
      <c r="T184" s="726"/>
      <c r="X184" s="726"/>
      <c r="AB184" s="726"/>
      <c r="AF184" s="726"/>
      <c r="AG184" s="726"/>
      <c r="AK184" s="726"/>
    </row>
    <row r="185" spans="4:37" x14ac:dyDescent="0.3">
      <c r="D185" s="726"/>
      <c r="H185" s="726"/>
      <c r="L185" s="726"/>
      <c r="P185" s="726"/>
      <c r="T185" s="726"/>
      <c r="X185" s="726"/>
      <c r="AB185" s="726"/>
      <c r="AF185" s="726"/>
      <c r="AG185" s="726"/>
      <c r="AK185" s="726"/>
    </row>
    <row r="186" spans="4:37" x14ac:dyDescent="0.3">
      <c r="D186" s="726"/>
      <c r="H186" s="726"/>
      <c r="L186" s="726"/>
      <c r="P186" s="726"/>
      <c r="T186" s="726"/>
      <c r="X186" s="726"/>
      <c r="AB186" s="726"/>
      <c r="AF186" s="726"/>
      <c r="AG186" s="726"/>
      <c r="AK186" s="726"/>
    </row>
    <row r="187" spans="4:37" x14ac:dyDescent="0.3">
      <c r="D187" s="726"/>
      <c r="H187" s="726"/>
      <c r="L187" s="726"/>
      <c r="P187" s="726"/>
      <c r="T187" s="726"/>
      <c r="X187" s="726"/>
      <c r="AB187" s="726"/>
      <c r="AF187" s="726"/>
      <c r="AG187" s="726"/>
      <c r="AK187" s="726"/>
    </row>
    <row r="188" spans="4:37" x14ac:dyDescent="0.3">
      <c r="D188" s="726"/>
      <c r="H188" s="726"/>
      <c r="L188" s="726"/>
      <c r="P188" s="726"/>
      <c r="T188" s="726"/>
      <c r="X188" s="726"/>
      <c r="AB188" s="726"/>
      <c r="AF188" s="726"/>
      <c r="AG188" s="726"/>
      <c r="AK188" s="726"/>
    </row>
    <row r="189" spans="4:37" x14ac:dyDescent="0.3">
      <c r="D189" s="726"/>
      <c r="H189" s="726"/>
      <c r="L189" s="726"/>
      <c r="P189" s="726"/>
      <c r="T189" s="726"/>
      <c r="X189" s="726"/>
      <c r="AB189" s="726"/>
      <c r="AF189" s="726"/>
      <c r="AG189" s="726"/>
      <c r="AK189" s="726"/>
    </row>
    <row r="190" spans="4:37" x14ac:dyDescent="0.3">
      <c r="D190" s="726"/>
      <c r="H190" s="726"/>
      <c r="L190" s="726"/>
      <c r="P190" s="726"/>
      <c r="T190" s="726"/>
      <c r="X190" s="726"/>
      <c r="AB190" s="726"/>
      <c r="AF190" s="726"/>
      <c r="AG190" s="726"/>
      <c r="AK190" s="726"/>
    </row>
    <row r="191" spans="4:37" x14ac:dyDescent="0.3">
      <c r="D191" s="726"/>
      <c r="H191" s="726"/>
      <c r="L191" s="726"/>
      <c r="P191" s="726"/>
      <c r="T191" s="726"/>
      <c r="X191" s="726"/>
      <c r="AB191" s="726"/>
      <c r="AF191" s="726"/>
      <c r="AG191" s="726"/>
      <c r="AK191" s="726"/>
    </row>
    <row r="192" spans="4:37" x14ac:dyDescent="0.3">
      <c r="D192" s="726"/>
      <c r="H192" s="726"/>
      <c r="L192" s="726"/>
      <c r="P192" s="726"/>
      <c r="T192" s="726"/>
      <c r="X192" s="726"/>
      <c r="AB192" s="726"/>
      <c r="AF192" s="726"/>
      <c r="AG192" s="726"/>
      <c r="AK192" s="726"/>
    </row>
    <row r="193" spans="4:37" x14ac:dyDescent="0.3">
      <c r="D193" s="726"/>
      <c r="H193" s="726"/>
      <c r="L193" s="726"/>
      <c r="P193" s="726"/>
      <c r="T193" s="726"/>
      <c r="X193" s="726"/>
      <c r="AB193" s="726"/>
      <c r="AF193" s="726"/>
      <c r="AG193" s="726"/>
      <c r="AK193" s="726"/>
    </row>
    <row r="194" spans="4:37" x14ac:dyDescent="0.3">
      <c r="D194" s="726"/>
      <c r="H194" s="726"/>
      <c r="L194" s="726"/>
      <c r="P194" s="726"/>
      <c r="T194" s="726"/>
      <c r="X194" s="726"/>
      <c r="AB194" s="726"/>
      <c r="AF194" s="726"/>
      <c r="AG194" s="726"/>
      <c r="AK194" s="726"/>
    </row>
    <row r="195" spans="4:37" x14ac:dyDescent="0.3">
      <c r="D195" s="726"/>
      <c r="H195" s="726"/>
      <c r="L195" s="726"/>
      <c r="P195" s="726"/>
      <c r="T195" s="726"/>
      <c r="X195" s="726"/>
      <c r="AB195" s="726"/>
      <c r="AF195" s="726"/>
      <c r="AG195" s="726"/>
      <c r="AK195" s="726"/>
    </row>
    <row r="196" spans="4:37" x14ac:dyDescent="0.3">
      <c r="D196" s="726"/>
      <c r="H196" s="726"/>
      <c r="L196" s="726"/>
      <c r="P196" s="726"/>
      <c r="T196" s="726"/>
      <c r="X196" s="726"/>
      <c r="AB196" s="726"/>
      <c r="AF196" s="726"/>
      <c r="AG196" s="726"/>
      <c r="AK196" s="726"/>
    </row>
    <row r="197" spans="4:37" x14ac:dyDescent="0.3">
      <c r="D197" s="726"/>
      <c r="H197" s="726"/>
      <c r="L197" s="726"/>
      <c r="P197" s="726"/>
      <c r="T197" s="726"/>
      <c r="X197" s="726"/>
      <c r="AB197" s="726"/>
      <c r="AF197" s="726"/>
      <c r="AG197" s="726"/>
      <c r="AK197" s="726"/>
    </row>
    <row r="198" spans="4:37" x14ac:dyDescent="0.3">
      <c r="D198" s="726"/>
      <c r="H198" s="726"/>
      <c r="L198" s="726"/>
      <c r="P198" s="726"/>
      <c r="T198" s="726"/>
      <c r="X198" s="726"/>
      <c r="AB198" s="726"/>
      <c r="AF198" s="726"/>
      <c r="AG198" s="726"/>
      <c r="AK198" s="726"/>
    </row>
    <row r="199" spans="4:37" x14ac:dyDescent="0.3">
      <c r="D199" s="726"/>
      <c r="H199" s="726"/>
      <c r="L199" s="726"/>
      <c r="P199" s="726"/>
      <c r="T199" s="726"/>
      <c r="X199" s="726"/>
      <c r="AB199" s="726"/>
      <c r="AF199" s="726"/>
      <c r="AG199" s="726"/>
      <c r="AK199" s="726"/>
    </row>
    <row r="200" spans="4:37" x14ac:dyDescent="0.3">
      <c r="D200" s="726"/>
      <c r="H200" s="726"/>
      <c r="L200" s="726"/>
      <c r="P200" s="726"/>
      <c r="T200" s="726"/>
      <c r="X200" s="726"/>
      <c r="AB200" s="726"/>
      <c r="AF200" s="726"/>
      <c r="AG200" s="726"/>
      <c r="AK200" s="726"/>
    </row>
    <row r="201" spans="4:37" x14ac:dyDescent="0.3">
      <c r="D201" s="726"/>
      <c r="H201" s="726"/>
      <c r="L201" s="726"/>
      <c r="P201" s="726"/>
      <c r="T201" s="726"/>
      <c r="X201" s="726"/>
      <c r="AB201" s="726"/>
      <c r="AF201" s="726"/>
      <c r="AG201" s="726"/>
      <c r="AK201" s="726"/>
    </row>
    <row r="202" spans="4:37" x14ac:dyDescent="0.3">
      <c r="D202" s="726"/>
      <c r="H202" s="726"/>
      <c r="L202" s="726"/>
      <c r="P202" s="726"/>
      <c r="T202" s="726"/>
      <c r="X202" s="726"/>
      <c r="AB202" s="726"/>
      <c r="AF202" s="726"/>
      <c r="AG202" s="726"/>
      <c r="AK202" s="726"/>
    </row>
    <row r="203" spans="4:37" x14ac:dyDescent="0.3">
      <c r="D203" s="726"/>
      <c r="H203" s="726"/>
      <c r="L203" s="726"/>
      <c r="P203" s="726"/>
      <c r="T203" s="726"/>
      <c r="X203" s="726"/>
      <c r="AB203" s="726"/>
      <c r="AF203" s="726"/>
      <c r="AG203" s="726"/>
      <c r="AK203" s="726"/>
    </row>
    <row r="204" spans="4:37" x14ac:dyDescent="0.3">
      <c r="D204" s="726"/>
      <c r="H204" s="726"/>
      <c r="L204" s="726"/>
      <c r="P204" s="726"/>
      <c r="T204" s="726"/>
      <c r="X204" s="726"/>
      <c r="AB204" s="726"/>
      <c r="AF204" s="726"/>
      <c r="AG204" s="726"/>
      <c r="AK204" s="726"/>
    </row>
    <row r="205" spans="4:37" x14ac:dyDescent="0.3">
      <c r="D205" s="726"/>
      <c r="H205" s="726"/>
      <c r="L205" s="726"/>
      <c r="P205" s="726"/>
      <c r="T205" s="726"/>
      <c r="X205" s="726"/>
      <c r="AB205" s="726"/>
      <c r="AF205" s="726"/>
      <c r="AG205" s="726"/>
      <c r="AK205" s="726"/>
    </row>
    <row r="206" spans="4:37" x14ac:dyDescent="0.3">
      <c r="D206" s="726"/>
      <c r="H206" s="726"/>
      <c r="L206" s="726"/>
      <c r="P206" s="726"/>
      <c r="T206" s="726"/>
      <c r="X206" s="726"/>
      <c r="AB206" s="726"/>
      <c r="AF206" s="726"/>
      <c r="AG206" s="726"/>
      <c r="AK206" s="726"/>
    </row>
    <row r="207" spans="4:37" x14ac:dyDescent="0.3">
      <c r="D207" s="726"/>
      <c r="H207" s="726"/>
      <c r="L207" s="726"/>
      <c r="P207" s="726"/>
      <c r="T207" s="726"/>
      <c r="X207" s="726"/>
      <c r="AB207" s="726"/>
      <c r="AF207" s="726"/>
      <c r="AG207" s="726"/>
      <c r="AK207" s="726"/>
    </row>
    <row r="208" spans="4:37" x14ac:dyDescent="0.3">
      <c r="D208" s="726"/>
      <c r="H208" s="726"/>
      <c r="L208" s="726"/>
      <c r="P208" s="726"/>
      <c r="T208" s="726"/>
      <c r="X208" s="726"/>
      <c r="AB208" s="726"/>
      <c r="AF208" s="726"/>
      <c r="AG208" s="726"/>
      <c r="AK208" s="726"/>
    </row>
    <row r="209" spans="4:37" x14ac:dyDescent="0.3">
      <c r="D209" s="726"/>
      <c r="H209" s="726"/>
      <c r="L209" s="726"/>
      <c r="P209" s="726"/>
      <c r="T209" s="726"/>
      <c r="X209" s="726"/>
      <c r="AB209" s="726"/>
      <c r="AF209" s="726"/>
      <c r="AG209" s="726"/>
      <c r="AK209" s="726"/>
    </row>
    <row r="210" spans="4:37" x14ac:dyDescent="0.3">
      <c r="D210" s="726"/>
      <c r="H210" s="726"/>
      <c r="L210" s="726"/>
      <c r="P210" s="726"/>
      <c r="T210" s="726"/>
      <c r="X210" s="726"/>
      <c r="AB210" s="726"/>
      <c r="AF210" s="726"/>
      <c r="AG210" s="726"/>
      <c r="AK210" s="726"/>
    </row>
    <row r="211" spans="4:37" x14ac:dyDescent="0.3">
      <c r="D211" s="726"/>
      <c r="H211" s="726"/>
      <c r="L211" s="726"/>
      <c r="P211" s="726"/>
      <c r="T211" s="726"/>
      <c r="X211" s="726"/>
      <c r="AB211" s="726"/>
      <c r="AF211" s="726"/>
      <c r="AG211" s="726"/>
      <c r="AK211" s="726"/>
    </row>
    <row r="212" spans="4:37" x14ac:dyDescent="0.3">
      <c r="D212" s="726"/>
      <c r="H212" s="726"/>
      <c r="L212" s="726"/>
      <c r="P212" s="726"/>
      <c r="T212" s="726"/>
      <c r="X212" s="726"/>
      <c r="AB212" s="726"/>
      <c r="AF212" s="726"/>
      <c r="AG212" s="726"/>
      <c r="AK212" s="726"/>
    </row>
    <row r="213" spans="4:37" x14ac:dyDescent="0.3">
      <c r="D213" s="726"/>
      <c r="H213" s="726"/>
      <c r="L213" s="726"/>
      <c r="P213" s="726"/>
      <c r="T213" s="726"/>
      <c r="X213" s="726"/>
      <c r="AB213" s="726"/>
      <c r="AF213" s="726"/>
      <c r="AG213" s="726"/>
      <c r="AK213" s="726"/>
    </row>
    <row r="214" spans="4:37" x14ac:dyDescent="0.3">
      <c r="D214" s="726"/>
      <c r="H214" s="726"/>
      <c r="L214" s="726"/>
      <c r="P214" s="726"/>
      <c r="T214" s="726"/>
      <c r="X214" s="726"/>
      <c r="AB214" s="726"/>
      <c r="AF214" s="726"/>
      <c r="AG214" s="726"/>
      <c r="AK214" s="726"/>
    </row>
    <row r="215" spans="4:37" x14ac:dyDescent="0.3">
      <c r="D215" s="726"/>
      <c r="H215" s="726"/>
      <c r="L215" s="726"/>
      <c r="P215" s="726"/>
      <c r="T215" s="726"/>
      <c r="X215" s="726"/>
      <c r="AB215" s="726"/>
      <c r="AF215" s="726"/>
      <c r="AG215" s="726"/>
      <c r="AK215" s="726"/>
    </row>
    <row r="216" spans="4:37" x14ac:dyDescent="0.3">
      <c r="D216" s="726"/>
      <c r="H216" s="726"/>
      <c r="L216" s="726"/>
      <c r="P216" s="726"/>
      <c r="T216" s="726"/>
      <c r="X216" s="726"/>
      <c r="AB216" s="726"/>
      <c r="AF216" s="726"/>
      <c r="AG216" s="726"/>
      <c r="AK216" s="726"/>
    </row>
    <row r="217" spans="4:37" x14ac:dyDescent="0.3">
      <c r="D217" s="726"/>
      <c r="H217" s="726"/>
      <c r="L217" s="726"/>
      <c r="P217" s="726"/>
      <c r="T217" s="726"/>
      <c r="X217" s="726"/>
      <c r="AB217" s="726"/>
      <c r="AF217" s="726"/>
      <c r="AG217" s="726"/>
      <c r="AK217" s="726"/>
    </row>
    <row r="218" spans="4:37" x14ac:dyDescent="0.3">
      <c r="D218" s="726"/>
      <c r="H218" s="726"/>
      <c r="L218" s="726"/>
      <c r="P218" s="726"/>
      <c r="T218" s="726"/>
      <c r="X218" s="726"/>
      <c r="AB218" s="726"/>
      <c r="AF218" s="726"/>
      <c r="AG218" s="726"/>
      <c r="AK218" s="726"/>
    </row>
    <row r="219" spans="4:37" x14ac:dyDescent="0.3">
      <c r="D219" s="726"/>
      <c r="H219" s="726"/>
      <c r="L219" s="726"/>
      <c r="P219" s="726"/>
      <c r="T219" s="726"/>
      <c r="X219" s="726"/>
      <c r="AB219" s="726"/>
      <c r="AF219" s="726"/>
      <c r="AG219" s="726"/>
      <c r="AK219" s="726"/>
    </row>
    <row r="220" spans="4:37" x14ac:dyDescent="0.3">
      <c r="D220" s="726"/>
      <c r="H220" s="726"/>
      <c r="L220" s="726"/>
      <c r="P220" s="726"/>
      <c r="T220" s="726"/>
      <c r="X220" s="726"/>
      <c r="AB220" s="726"/>
      <c r="AF220" s="726"/>
      <c r="AG220" s="726"/>
      <c r="AK220" s="726"/>
    </row>
    <row r="221" spans="4:37" x14ac:dyDescent="0.3">
      <c r="D221" s="726"/>
      <c r="H221" s="726"/>
      <c r="L221" s="726"/>
      <c r="P221" s="726"/>
      <c r="T221" s="726"/>
      <c r="X221" s="726"/>
      <c r="AB221" s="726"/>
      <c r="AF221" s="726"/>
      <c r="AG221" s="726"/>
      <c r="AK221" s="726"/>
    </row>
    <row r="222" spans="4:37" x14ac:dyDescent="0.3">
      <c r="D222" s="726"/>
      <c r="H222" s="726"/>
      <c r="L222" s="726"/>
      <c r="P222" s="726"/>
      <c r="T222" s="726"/>
      <c r="X222" s="726"/>
      <c r="AB222" s="726"/>
      <c r="AF222" s="726"/>
      <c r="AG222" s="726"/>
      <c r="AK222" s="726"/>
    </row>
    <row r="223" spans="4:37" x14ac:dyDescent="0.3">
      <c r="D223" s="726"/>
      <c r="H223" s="726"/>
      <c r="L223" s="726"/>
      <c r="P223" s="726"/>
      <c r="T223" s="726"/>
      <c r="X223" s="726"/>
      <c r="AB223" s="726"/>
      <c r="AF223" s="726"/>
      <c r="AG223" s="726"/>
      <c r="AK223" s="726"/>
    </row>
    <row r="224" spans="4:37" x14ac:dyDescent="0.3">
      <c r="D224" s="726"/>
      <c r="H224" s="726"/>
      <c r="L224" s="726"/>
      <c r="P224" s="726"/>
      <c r="T224" s="726"/>
      <c r="X224" s="726"/>
      <c r="AB224" s="726"/>
      <c r="AF224" s="726"/>
      <c r="AG224" s="726"/>
      <c r="AK224" s="726"/>
    </row>
    <row r="225" spans="4:37" x14ac:dyDescent="0.3">
      <c r="D225" s="726"/>
      <c r="H225" s="726"/>
      <c r="L225" s="726"/>
      <c r="P225" s="726"/>
      <c r="T225" s="726"/>
      <c r="X225" s="726"/>
      <c r="AB225" s="726"/>
      <c r="AF225" s="726"/>
      <c r="AG225" s="726"/>
      <c r="AK225" s="726"/>
    </row>
    <row r="226" spans="4:37" x14ac:dyDescent="0.3">
      <c r="D226" s="726"/>
      <c r="H226" s="726"/>
      <c r="L226" s="726"/>
      <c r="P226" s="726"/>
      <c r="T226" s="726"/>
      <c r="X226" s="726"/>
      <c r="AB226" s="726"/>
      <c r="AF226" s="726"/>
      <c r="AG226" s="726"/>
      <c r="AK226" s="726"/>
    </row>
    <row r="227" spans="4:37" x14ac:dyDescent="0.3">
      <c r="D227" s="726"/>
      <c r="H227" s="726"/>
      <c r="L227" s="726"/>
      <c r="P227" s="726"/>
      <c r="T227" s="726"/>
      <c r="X227" s="726"/>
      <c r="AB227" s="726"/>
      <c r="AF227" s="726"/>
      <c r="AG227" s="726"/>
      <c r="AK227" s="726"/>
    </row>
    <row r="228" spans="4:37" x14ac:dyDescent="0.3">
      <c r="D228" s="726"/>
      <c r="H228" s="726"/>
      <c r="L228" s="726"/>
      <c r="P228" s="726"/>
      <c r="T228" s="726"/>
      <c r="X228" s="726"/>
      <c r="AB228" s="726"/>
      <c r="AF228" s="726"/>
      <c r="AG228" s="726"/>
      <c r="AK228" s="726"/>
    </row>
    <row r="229" spans="4:37" x14ac:dyDescent="0.3">
      <c r="D229" s="726"/>
      <c r="H229" s="726"/>
      <c r="L229" s="726"/>
      <c r="P229" s="726"/>
      <c r="T229" s="726"/>
      <c r="X229" s="726"/>
      <c r="AB229" s="726"/>
      <c r="AF229" s="726"/>
      <c r="AG229" s="726"/>
      <c r="AK229" s="726"/>
    </row>
    <row r="230" spans="4:37" x14ac:dyDescent="0.3">
      <c r="D230" s="726"/>
      <c r="H230" s="726"/>
      <c r="L230" s="726"/>
      <c r="P230" s="726"/>
      <c r="T230" s="726"/>
      <c r="X230" s="726"/>
      <c r="AB230" s="726"/>
      <c r="AF230" s="726"/>
      <c r="AG230" s="726"/>
      <c r="AK230" s="726"/>
    </row>
    <row r="231" spans="4:37" x14ac:dyDescent="0.3">
      <c r="D231" s="726"/>
      <c r="H231" s="726"/>
      <c r="L231" s="726"/>
      <c r="P231" s="726"/>
      <c r="T231" s="726"/>
      <c r="X231" s="726"/>
      <c r="AB231" s="726"/>
      <c r="AF231" s="726"/>
      <c r="AG231" s="726"/>
      <c r="AK231" s="726"/>
    </row>
    <row r="232" spans="4:37" x14ac:dyDescent="0.3">
      <c r="D232" s="726"/>
      <c r="H232" s="726"/>
      <c r="L232" s="726"/>
      <c r="P232" s="726"/>
      <c r="T232" s="726"/>
      <c r="X232" s="726"/>
      <c r="AB232" s="726"/>
      <c r="AF232" s="726"/>
      <c r="AG232" s="726"/>
      <c r="AK232" s="726"/>
    </row>
    <row r="233" spans="4:37" x14ac:dyDescent="0.3">
      <c r="D233" s="726"/>
      <c r="H233" s="726"/>
      <c r="L233" s="726"/>
      <c r="P233" s="726"/>
      <c r="T233" s="726"/>
      <c r="X233" s="726"/>
      <c r="AB233" s="726"/>
      <c r="AF233" s="726"/>
      <c r="AG233" s="726"/>
      <c r="AK233" s="726"/>
    </row>
    <row r="234" spans="4:37" x14ac:dyDescent="0.3">
      <c r="D234" s="726"/>
      <c r="H234" s="726"/>
      <c r="L234" s="726"/>
      <c r="P234" s="726"/>
      <c r="T234" s="726"/>
      <c r="X234" s="726"/>
      <c r="AB234" s="726"/>
      <c r="AF234" s="726"/>
      <c r="AG234" s="726"/>
      <c r="AK234" s="726"/>
    </row>
    <row r="235" spans="4:37" x14ac:dyDescent="0.3">
      <c r="D235" s="726"/>
      <c r="H235" s="726"/>
      <c r="L235" s="726"/>
      <c r="P235" s="726"/>
      <c r="T235" s="726"/>
      <c r="X235" s="726"/>
      <c r="AB235" s="726"/>
      <c r="AF235" s="726"/>
      <c r="AG235" s="726"/>
      <c r="AK235" s="726"/>
    </row>
    <row r="236" spans="4:37" x14ac:dyDescent="0.3">
      <c r="D236" s="726"/>
      <c r="H236" s="726"/>
      <c r="L236" s="726"/>
      <c r="P236" s="726"/>
      <c r="T236" s="726"/>
      <c r="X236" s="726"/>
      <c r="AB236" s="726"/>
      <c r="AF236" s="726"/>
      <c r="AG236" s="726"/>
      <c r="AK236" s="726"/>
    </row>
    <row r="237" spans="4:37" x14ac:dyDescent="0.3">
      <c r="D237" s="726"/>
      <c r="H237" s="726"/>
      <c r="L237" s="726"/>
      <c r="P237" s="726"/>
      <c r="T237" s="726"/>
      <c r="X237" s="726"/>
      <c r="AB237" s="726"/>
      <c r="AF237" s="726"/>
      <c r="AG237" s="726"/>
      <c r="AK237" s="726"/>
    </row>
    <row r="238" spans="4:37" x14ac:dyDescent="0.3">
      <c r="D238" s="726"/>
      <c r="H238" s="726"/>
      <c r="L238" s="726"/>
      <c r="P238" s="726"/>
      <c r="T238" s="726"/>
      <c r="X238" s="726"/>
      <c r="AB238" s="726"/>
      <c r="AF238" s="726"/>
      <c r="AG238" s="726"/>
      <c r="AK238" s="726"/>
    </row>
    <row r="239" spans="4:37" x14ac:dyDescent="0.3">
      <c r="D239" s="726"/>
      <c r="H239" s="726"/>
      <c r="L239" s="726"/>
      <c r="P239" s="726"/>
      <c r="T239" s="726"/>
      <c r="X239" s="726"/>
      <c r="AB239" s="726"/>
      <c r="AF239" s="726"/>
      <c r="AG239" s="726"/>
      <c r="AK239" s="726"/>
    </row>
    <row r="240" spans="4:37" x14ac:dyDescent="0.3">
      <c r="D240" s="726"/>
      <c r="H240" s="726"/>
      <c r="L240" s="726"/>
      <c r="P240" s="726"/>
      <c r="T240" s="726"/>
      <c r="X240" s="726"/>
      <c r="AB240" s="726"/>
      <c r="AF240" s="726"/>
      <c r="AG240" s="726"/>
      <c r="AK240" s="726"/>
    </row>
    <row r="241" spans="4:37" x14ac:dyDescent="0.3">
      <c r="D241" s="726"/>
      <c r="H241" s="726"/>
      <c r="L241" s="726"/>
      <c r="P241" s="726"/>
      <c r="T241" s="726"/>
      <c r="X241" s="726"/>
      <c r="AB241" s="726"/>
      <c r="AF241" s="726"/>
      <c r="AG241" s="726"/>
      <c r="AK241" s="726"/>
    </row>
    <row r="242" spans="4:37" x14ac:dyDescent="0.3">
      <c r="D242" s="726"/>
      <c r="H242" s="726"/>
      <c r="L242" s="726"/>
      <c r="P242" s="726"/>
      <c r="T242" s="726"/>
      <c r="X242" s="726"/>
      <c r="AB242" s="726"/>
      <c r="AF242" s="726"/>
      <c r="AG242" s="726"/>
      <c r="AK242" s="726"/>
    </row>
    <row r="243" spans="4:37" x14ac:dyDescent="0.3">
      <c r="D243" s="726"/>
      <c r="H243" s="726"/>
      <c r="L243" s="726"/>
      <c r="P243" s="726"/>
      <c r="T243" s="726"/>
      <c r="X243" s="726"/>
      <c r="AB243" s="726"/>
      <c r="AF243" s="726"/>
      <c r="AG243" s="726"/>
      <c r="AK243" s="726"/>
    </row>
    <row r="244" spans="4:37" x14ac:dyDescent="0.3">
      <c r="D244" s="726"/>
      <c r="H244" s="726"/>
      <c r="L244" s="726"/>
      <c r="P244" s="726"/>
      <c r="T244" s="726"/>
      <c r="X244" s="726"/>
      <c r="AB244" s="726"/>
      <c r="AF244" s="726"/>
      <c r="AG244" s="726"/>
      <c r="AK244" s="726"/>
    </row>
    <row r="245" spans="4:37" x14ac:dyDescent="0.3">
      <c r="D245" s="726"/>
      <c r="H245" s="726"/>
      <c r="L245" s="726"/>
      <c r="P245" s="726"/>
      <c r="T245" s="726"/>
      <c r="X245" s="726"/>
      <c r="AB245" s="726"/>
      <c r="AF245" s="726"/>
      <c r="AG245" s="726"/>
      <c r="AK245" s="726"/>
    </row>
    <row r="246" spans="4:37" x14ac:dyDescent="0.3">
      <c r="D246" s="726"/>
      <c r="H246" s="726"/>
      <c r="L246" s="726"/>
      <c r="P246" s="726"/>
      <c r="T246" s="726"/>
      <c r="X246" s="726"/>
      <c r="AB246" s="726"/>
      <c r="AF246" s="726"/>
      <c r="AG246" s="726"/>
      <c r="AK246" s="726"/>
    </row>
    <row r="247" spans="4:37" x14ac:dyDescent="0.3">
      <c r="D247" s="726"/>
      <c r="H247" s="726"/>
      <c r="L247" s="726"/>
      <c r="P247" s="726"/>
      <c r="T247" s="726"/>
      <c r="X247" s="726"/>
      <c r="AB247" s="726"/>
      <c r="AF247" s="726"/>
      <c r="AG247" s="726"/>
      <c r="AK247" s="726"/>
    </row>
    <row r="248" spans="4:37" x14ac:dyDescent="0.3">
      <c r="D248" s="726"/>
      <c r="H248" s="726"/>
      <c r="L248" s="726"/>
      <c r="P248" s="726"/>
      <c r="T248" s="726"/>
      <c r="X248" s="726"/>
      <c r="AB248" s="726"/>
      <c r="AF248" s="726"/>
      <c r="AG248" s="726"/>
      <c r="AK248" s="726"/>
    </row>
    <row r="249" spans="4:37" x14ac:dyDescent="0.3">
      <c r="D249" s="726"/>
      <c r="H249" s="726"/>
      <c r="L249" s="726"/>
      <c r="P249" s="726"/>
      <c r="T249" s="726"/>
      <c r="X249" s="726"/>
      <c r="AB249" s="726"/>
      <c r="AF249" s="726"/>
      <c r="AG249" s="726"/>
      <c r="AK249" s="726"/>
    </row>
    <row r="250" spans="4:37" x14ac:dyDescent="0.3">
      <c r="D250" s="726"/>
      <c r="H250" s="726"/>
      <c r="L250" s="726"/>
      <c r="P250" s="726"/>
      <c r="T250" s="726"/>
      <c r="X250" s="726"/>
      <c r="AB250" s="726"/>
      <c r="AF250" s="726"/>
      <c r="AG250" s="726"/>
      <c r="AK250" s="726"/>
    </row>
    <row r="251" spans="4:37" x14ac:dyDescent="0.3">
      <c r="D251" s="726"/>
      <c r="H251" s="726"/>
      <c r="L251" s="726"/>
      <c r="P251" s="726"/>
      <c r="T251" s="726"/>
      <c r="X251" s="726"/>
      <c r="AB251" s="726"/>
      <c r="AF251" s="726"/>
      <c r="AG251" s="726"/>
      <c r="AK251" s="726"/>
    </row>
    <row r="252" spans="4:37" x14ac:dyDescent="0.3">
      <c r="D252" s="726"/>
      <c r="H252" s="726"/>
      <c r="L252" s="726"/>
      <c r="P252" s="726"/>
      <c r="T252" s="726"/>
      <c r="X252" s="726"/>
      <c r="AB252" s="726"/>
      <c r="AF252" s="726"/>
      <c r="AG252" s="726"/>
      <c r="AK252" s="726"/>
    </row>
    <row r="253" spans="4:37" x14ac:dyDescent="0.3">
      <c r="D253" s="726"/>
      <c r="H253" s="726"/>
      <c r="L253" s="726"/>
      <c r="P253" s="726"/>
      <c r="T253" s="726"/>
      <c r="X253" s="726"/>
      <c r="AB253" s="726"/>
      <c r="AF253" s="726"/>
      <c r="AG253" s="726"/>
      <c r="AK253" s="726"/>
    </row>
    <row r="254" spans="4:37" x14ac:dyDescent="0.3">
      <c r="D254" s="726"/>
      <c r="H254" s="726"/>
      <c r="L254" s="726"/>
      <c r="P254" s="726"/>
      <c r="T254" s="726"/>
      <c r="X254" s="726"/>
      <c r="AB254" s="726"/>
      <c r="AF254" s="726"/>
      <c r="AG254" s="726"/>
      <c r="AK254" s="726"/>
    </row>
    <row r="255" spans="4:37" x14ac:dyDescent="0.3">
      <c r="D255" s="726"/>
      <c r="H255" s="726"/>
      <c r="L255" s="726"/>
      <c r="P255" s="726"/>
      <c r="T255" s="726"/>
      <c r="X255" s="726"/>
      <c r="AB255" s="726"/>
      <c r="AF255" s="726"/>
      <c r="AG255" s="726"/>
      <c r="AK255" s="726"/>
    </row>
    <row r="256" spans="4:37" x14ac:dyDescent="0.3">
      <c r="D256" s="726"/>
      <c r="H256" s="726"/>
      <c r="L256" s="726"/>
      <c r="P256" s="726"/>
      <c r="T256" s="726"/>
      <c r="X256" s="726"/>
      <c r="AB256" s="726"/>
      <c r="AF256" s="726"/>
      <c r="AG256" s="726"/>
      <c r="AK256" s="726"/>
    </row>
    <row r="257" spans="4:37" x14ac:dyDescent="0.3">
      <c r="D257" s="726"/>
      <c r="H257" s="726"/>
      <c r="L257" s="726"/>
      <c r="P257" s="726"/>
      <c r="T257" s="726"/>
      <c r="X257" s="726"/>
      <c r="AB257" s="726"/>
      <c r="AF257" s="726"/>
      <c r="AG257" s="726"/>
      <c r="AK257" s="726"/>
    </row>
    <row r="258" spans="4:37" x14ac:dyDescent="0.3">
      <c r="D258" s="726"/>
      <c r="H258" s="726"/>
      <c r="L258" s="726"/>
      <c r="P258" s="726"/>
      <c r="T258" s="726"/>
      <c r="X258" s="726"/>
      <c r="AB258" s="726"/>
      <c r="AF258" s="726"/>
      <c r="AG258" s="726"/>
      <c r="AK258" s="726"/>
    </row>
    <row r="259" spans="4:37" x14ac:dyDescent="0.3">
      <c r="D259" s="726"/>
      <c r="H259" s="726"/>
      <c r="L259" s="726"/>
      <c r="P259" s="726"/>
      <c r="T259" s="726"/>
      <c r="X259" s="726"/>
      <c r="AB259" s="726"/>
      <c r="AF259" s="726"/>
      <c r="AG259" s="726"/>
      <c r="AK259" s="726"/>
    </row>
    <row r="260" spans="4:37" x14ac:dyDescent="0.3">
      <c r="D260" s="726"/>
      <c r="H260" s="726"/>
      <c r="L260" s="726"/>
      <c r="P260" s="726"/>
      <c r="T260" s="726"/>
      <c r="X260" s="726"/>
      <c r="AB260" s="726"/>
      <c r="AF260" s="726"/>
      <c r="AG260" s="726"/>
      <c r="AK260" s="726"/>
    </row>
    <row r="261" spans="4:37" x14ac:dyDescent="0.3">
      <c r="D261" s="726"/>
      <c r="H261" s="726"/>
      <c r="L261" s="726"/>
      <c r="P261" s="726"/>
      <c r="T261" s="726"/>
      <c r="X261" s="726"/>
      <c r="AB261" s="726"/>
      <c r="AF261" s="726"/>
      <c r="AG261" s="726"/>
      <c r="AK261" s="726"/>
    </row>
    <row r="262" spans="4:37" x14ac:dyDescent="0.3">
      <c r="D262" s="726"/>
      <c r="H262" s="726"/>
      <c r="L262" s="726"/>
      <c r="P262" s="726"/>
      <c r="T262" s="726"/>
      <c r="X262" s="726"/>
      <c r="AB262" s="726"/>
      <c r="AF262" s="726"/>
      <c r="AG262" s="726"/>
      <c r="AK262" s="726"/>
    </row>
    <row r="263" spans="4:37" x14ac:dyDescent="0.3">
      <c r="D263" s="726"/>
      <c r="H263" s="726"/>
      <c r="L263" s="726"/>
      <c r="P263" s="726"/>
      <c r="T263" s="726"/>
      <c r="X263" s="726"/>
      <c r="AB263" s="726"/>
      <c r="AF263" s="726"/>
      <c r="AG263" s="726"/>
      <c r="AK263" s="726"/>
    </row>
    <row r="264" spans="4:37" x14ac:dyDescent="0.3">
      <c r="D264" s="726"/>
      <c r="H264" s="726"/>
      <c r="L264" s="726"/>
      <c r="P264" s="726"/>
      <c r="T264" s="726"/>
      <c r="X264" s="726"/>
      <c r="AB264" s="726"/>
      <c r="AF264" s="726"/>
      <c r="AG264" s="726"/>
      <c r="AK264" s="726"/>
    </row>
    <row r="265" spans="4:37" x14ac:dyDescent="0.3">
      <c r="D265" s="726"/>
      <c r="H265" s="726"/>
      <c r="L265" s="726"/>
      <c r="P265" s="726"/>
      <c r="T265" s="726"/>
      <c r="X265" s="726"/>
      <c r="AB265" s="726"/>
      <c r="AF265" s="726"/>
      <c r="AG265" s="726"/>
      <c r="AK265" s="726"/>
    </row>
    <row r="266" spans="4:37" x14ac:dyDescent="0.3">
      <c r="D266" s="726"/>
      <c r="H266" s="726"/>
      <c r="L266" s="726"/>
      <c r="P266" s="726"/>
      <c r="T266" s="726"/>
      <c r="X266" s="726"/>
      <c r="AB266" s="726"/>
      <c r="AF266" s="726"/>
      <c r="AG266" s="726"/>
      <c r="AK266" s="726"/>
    </row>
    <row r="267" spans="4:37" x14ac:dyDescent="0.3">
      <c r="D267" s="726"/>
      <c r="H267" s="726"/>
      <c r="L267" s="726"/>
      <c r="P267" s="726"/>
      <c r="T267" s="726"/>
      <c r="X267" s="726"/>
      <c r="AB267" s="726"/>
      <c r="AF267" s="726"/>
      <c r="AG267" s="726"/>
      <c r="AK267" s="726"/>
    </row>
    <row r="268" spans="4:37" x14ac:dyDescent="0.3">
      <c r="D268" s="726"/>
      <c r="H268" s="726"/>
      <c r="L268" s="726"/>
      <c r="P268" s="726"/>
      <c r="T268" s="726"/>
      <c r="X268" s="726"/>
      <c r="AB268" s="726"/>
      <c r="AF268" s="726"/>
      <c r="AG268" s="726"/>
      <c r="AK268" s="726"/>
    </row>
    <row r="269" spans="4:37" x14ac:dyDescent="0.3">
      <c r="D269" s="726"/>
      <c r="H269" s="726"/>
      <c r="L269" s="726"/>
      <c r="P269" s="726"/>
      <c r="T269" s="726"/>
      <c r="X269" s="726"/>
      <c r="AB269" s="726"/>
      <c r="AF269" s="726"/>
      <c r="AG269" s="726"/>
      <c r="AK269" s="726"/>
    </row>
    <row r="270" spans="4:37" x14ac:dyDescent="0.3">
      <c r="D270" s="726"/>
      <c r="H270" s="726"/>
      <c r="L270" s="726"/>
      <c r="P270" s="726"/>
      <c r="T270" s="726"/>
      <c r="X270" s="726"/>
      <c r="AB270" s="726"/>
      <c r="AF270" s="726"/>
      <c r="AG270" s="726"/>
      <c r="AK270" s="726"/>
    </row>
    <row r="271" spans="4:37" x14ac:dyDescent="0.3">
      <c r="D271" s="726"/>
      <c r="H271" s="726"/>
      <c r="L271" s="726"/>
      <c r="P271" s="726"/>
      <c r="T271" s="726"/>
      <c r="X271" s="726"/>
      <c r="AB271" s="726"/>
      <c r="AF271" s="726"/>
      <c r="AG271" s="726"/>
      <c r="AK271" s="726"/>
    </row>
    <row r="272" spans="4:37" x14ac:dyDescent="0.3">
      <c r="D272" s="726"/>
      <c r="H272" s="726"/>
      <c r="L272" s="726"/>
      <c r="P272" s="726"/>
      <c r="T272" s="726"/>
      <c r="X272" s="726"/>
      <c r="AB272" s="726"/>
      <c r="AF272" s="726"/>
      <c r="AG272" s="726"/>
      <c r="AK272" s="726"/>
    </row>
    <row r="273" spans="4:37" x14ac:dyDescent="0.3">
      <c r="D273" s="726"/>
      <c r="H273" s="726"/>
      <c r="L273" s="726"/>
      <c r="P273" s="726"/>
      <c r="T273" s="726"/>
      <c r="X273" s="726"/>
      <c r="AB273" s="726"/>
      <c r="AF273" s="726"/>
      <c r="AG273" s="726"/>
      <c r="AK273" s="726"/>
    </row>
    <row r="274" spans="4:37" x14ac:dyDescent="0.3">
      <c r="D274" s="726"/>
      <c r="H274" s="726"/>
      <c r="L274" s="726"/>
      <c r="P274" s="726"/>
      <c r="T274" s="726"/>
      <c r="X274" s="726"/>
      <c r="AB274" s="726"/>
      <c r="AF274" s="726"/>
      <c r="AG274" s="726"/>
      <c r="AK274" s="726"/>
    </row>
    <row r="275" spans="4:37" x14ac:dyDescent="0.3">
      <c r="D275" s="726"/>
      <c r="H275" s="726"/>
      <c r="L275" s="726"/>
      <c r="P275" s="726"/>
      <c r="T275" s="726"/>
      <c r="X275" s="726"/>
      <c r="AB275" s="726"/>
      <c r="AF275" s="726"/>
      <c r="AG275" s="726"/>
      <c r="AK275" s="726"/>
    </row>
    <row r="276" spans="4:37" x14ac:dyDescent="0.3">
      <c r="D276" s="726"/>
      <c r="H276" s="726"/>
      <c r="L276" s="726"/>
      <c r="P276" s="726"/>
      <c r="T276" s="726"/>
      <c r="X276" s="726"/>
      <c r="AB276" s="726"/>
      <c r="AF276" s="726"/>
      <c r="AG276" s="726"/>
      <c r="AK276" s="726"/>
    </row>
    <row r="277" spans="4:37" x14ac:dyDescent="0.3">
      <c r="D277" s="726"/>
      <c r="H277" s="726"/>
      <c r="L277" s="726"/>
      <c r="P277" s="726"/>
      <c r="T277" s="726"/>
      <c r="X277" s="726"/>
      <c r="AB277" s="726"/>
      <c r="AF277" s="726"/>
      <c r="AG277" s="726"/>
      <c r="AK277" s="726"/>
    </row>
    <row r="278" spans="4:37" x14ac:dyDescent="0.3">
      <c r="D278" s="726"/>
      <c r="H278" s="726"/>
      <c r="L278" s="726"/>
      <c r="P278" s="726"/>
      <c r="T278" s="726"/>
      <c r="X278" s="726"/>
      <c r="AB278" s="726"/>
      <c r="AF278" s="726"/>
      <c r="AG278" s="726"/>
      <c r="AK278" s="726"/>
    </row>
    <row r="279" spans="4:37" x14ac:dyDescent="0.3">
      <c r="D279" s="726"/>
      <c r="H279" s="726"/>
      <c r="L279" s="726"/>
      <c r="P279" s="726"/>
      <c r="T279" s="726"/>
      <c r="X279" s="726"/>
      <c r="AB279" s="726"/>
      <c r="AF279" s="726"/>
      <c r="AG279" s="726"/>
      <c r="AK279" s="726"/>
    </row>
    <row r="280" spans="4:37" x14ac:dyDescent="0.3">
      <c r="D280" s="726"/>
      <c r="H280" s="726"/>
      <c r="L280" s="726"/>
      <c r="P280" s="726"/>
      <c r="T280" s="726"/>
      <c r="X280" s="726"/>
      <c r="AB280" s="726"/>
      <c r="AF280" s="726"/>
      <c r="AG280" s="726"/>
      <c r="AK280" s="726"/>
    </row>
    <row r="281" spans="4:37" x14ac:dyDescent="0.3">
      <c r="D281" s="726"/>
      <c r="H281" s="726"/>
      <c r="L281" s="726"/>
      <c r="P281" s="726"/>
      <c r="T281" s="726"/>
      <c r="X281" s="726"/>
      <c r="AB281" s="726"/>
      <c r="AF281" s="726"/>
      <c r="AG281" s="726"/>
      <c r="AK281" s="726"/>
    </row>
    <row r="282" spans="4:37" x14ac:dyDescent="0.3">
      <c r="D282" s="726"/>
      <c r="H282" s="726"/>
      <c r="L282" s="726"/>
      <c r="P282" s="726"/>
      <c r="T282" s="726"/>
      <c r="X282" s="726"/>
      <c r="AB282" s="726"/>
      <c r="AF282" s="726"/>
      <c r="AG282" s="726"/>
      <c r="AK282" s="726"/>
    </row>
    <row r="283" spans="4:37" x14ac:dyDescent="0.3">
      <c r="D283" s="726"/>
      <c r="H283" s="726"/>
      <c r="L283" s="726"/>
      <c r="P283" s="726"/>
      <c r="T283" s="726"/>
      <c r="X283" s="726"/>
      <c r="AB283" s="726"/>
      <c r="AF283" s="726"/>
      <c r="AG283" s="726"/>
      <c r="AK283" s="726"/>
    </row>
    <row r="284" spans="4:37" x14ac:dyDescent="0.3">
      <c r="D284" s="726"/>
      <c r="H284" s="726"/>
      <c r="L284" s="726"/>
      <c r="P284" s="726"/>
      <c r="T284" s="726"/>
      <c r="X284" s="726"/>
      <c r="AB284" s="726"/>
      <c r="AF284" s="726"/>
      <c r="AG284" s="726"/>
      <c r="AK284" s="726"/>
    </row>
    <row r="285" spans="4:37" x14ac:dyDescent="0.3">
      <c r="D285" s="726"/>
      <c r="H285" s="726"/>
      <c r="L285" s="726"/>
      <c r="P285" s="726"/>
      <c r="T285" s="726"/>
      <c r="X285" s="726"/>
      <c r="AB285" s="726"/>
      <c r="AF285" s="726"/>
      <c r="AG285" s="726"/>
      <c r="AK285" s="726"/>
    </row>
    <row r="286" spans="4:37" x14ac:dyDescent="0.3">
      <c r="D286" s="726"/>
      <c r="H286" s="726"/>
      <c r="L286" s="726"/>
      <c r="P286" s="726"/>
      <c r="T286" s="726"/>
      <c r="X286" s="726"/>
      <c r="AB286" s="726"/>
      <c r="AF286" s="726"/>
      <c r="AG286" s="726"/>
      <c r="AK286" s="726"/>
    </row>
    <row r="287" spans="4:37" x14ac:dyDescent="0.3">
      <c r="D287" s="726"/>
      <c r="H287" s="726"/>
      <c r="L287" s="726"/>
      <c r="P287" s="726"/>
      <c r="T287" s="726"/>
      <c r="X287" s="726"/>
      <c r="AB287" s="726"/>
      <c r="AF287" s="726"/>
      <c r="AG287" s="726"/>
      <c r="AK287" s="726"/>
    </row>
    <row r="288" spans="4:37" x14ac:dyDescent="0.3">
      <c r="D288" s="726"/>
      <c r="H288" s="726"/>
      <c r="L288" s="726"/>
      <c r="P288" s="726"/>
      <c r="T288" s="726"/>
      <c r="X288" s="726"/>
      <c r="AB288" s="726"/>
      <c r="AF288" s="726"/>
      <c r="AG288" s="726"/>
      <c r="AK288" s="726"/>
    </row>
    <row r="289" spans="4:37" x14ac:dyDescent="0.3">
      <c r="D289" s="726"/>
      <c r="H289" s="726"/>
      <c r="L289" s="726"/>
      <c r="P289" s="726"/>
      <c r="T289" s="726"/>
      <c r="X289" s="726"/>
      <c r="AB289" s="726"/>
      <c r="AF289" s="726"/>
      <c r="AG289" s="726"/>
      <c r="AK289" s="726"/>
    </row>
    <row r="290" spans="4:37" x14ac:dyDescent="0.3">
      <c r="D290" s="726"/>
      <c r="H290" s="726"/>
      <c r="L290" s="726"/>
      <c r="P290" s="726"/>
      <c r="T290" s="726"/>
      <c r="X290" s="726"/>
      <c r="AB290" s="726"/>
      <c r="AF290" s="726"/>
      <c r="AG290" s="726"/>
      <c r="AK290" s="726"/>
    </row>
    <row r="291" spans="4:37" x14ac:dyDescent="0.3">
      <c r="D291" s="726"/>
      <c r="H291" s="726"/>
      <c r="L291" s="726"/>
      <c r="P291" s="726"/>
      <c r="T291" s="726"/>
      <c r="X291" s="726"/>
      <c r="AB291" s="726"/>
      <c r="AF291" s="726"/>
      <c r="AG291" s="726"/>
      <c r="AK291" s="726"/>
    </row>
    <row r="292" spans="4:37" x14ac:dyDescent="0.3">
      <c r="D292" s="726"/>
      <c r="H292" s="726"/>
      <c r="L292" s="726"/>
      <c r="P292" s="726"/>
      <c r="T292" s="726"/>
      <c r="X292" s="726"/>
      <c r="AB292" s="726"/>
      <c r="AF292" s="726"/>
      <c r="AG292" s="726"/>
      <c r="AK292" s="726"/>
    </row>
    <row r="293" spans="4:37" x14ac:dyDescent="0.3">
      <c r="D293" s="726"/>
      <c r="H293" s="726"/>
      <c r="L293" s="726"/>
      <c r="P293" s="726"/>
      <c r="T293" s="726"/>
      <c r="X293" s="726"/>
      <c r="AB293" s="726"/>
      <c r="AF293" s="726"/>
      <c r="AG293" s="726"/>
      <c r="AK293" s="726"/>
    </row>
    <row r="294" spans="4:37" x14ac:dyDescent="0.3">
      <c r="D294" s="726"/>
      <c r="H294" s="726"/>
      <c r="L294" s="726"/>
      <c r="P294" s="726"/>
      <c r="T294" s="726"/>
      <c r="X294" s="726"/>
      <c r="AB294" s="726"/>
      <c r="AF294" s="726"/>
      <c r="AG294" s="726"/>
      <c r="AK294" s="726"/>
    </row>
    <row r="295" spans="4:37" x14ac:dyDescent="0.3">
      <c r="D295" s="726"/>
      <c r="H295" s="726"/>
      <c r="L295" s="726"/>
      <c r="P295" s="726"/>
      <c r="T295" s="726"/>
      <c r="X295" s="726"/>
      <c r="AB295" s="726"/>
      <c r="AF295" s="726"/>
      <c r="AG295" s="726"/>
      <c r="AK295" s="726"/>
    </row>
    <row r="296" spans="4:37" x14ac:dyDescent="0.3">
      <c r="D296" s="726"/>
      <c r="H296" s="726"/>
      <c r="L296" s="726"/>
      <c r="P296" s="726"/>
      <c r="T296" s="726"/>
      <c r="X296" s="726"/>
      <c r="AB296" s="726"/>
      <c r="AF296" s="726"/>
      <c r="AG296" s="726"/>
      <c r="AK296" s="726"/>
    </row>
    <row r="297" spans="4:37" x14ac:dyDescent="0.3">
      <c r="D297" s="726"/>
      <c r="H297" s="726"/>
      <c r="L297" s="726"/>
      <c r="P297" s="726"/>
      <c r="T297" s="726"/>
      <c r="X297" s="726"/>
      <c r="AB297" s="726"/>
      <c r="AF297" s="726"/>
      <c r="AG297" s="726"/>
      <c r="AK297" s="726"/>
    </row>
    <row r="298" spans="4:37" x14ac:dyDescent="0.3">
      <c r="D298" s="726"/>
      <c r="H298" s="726"/>
      <c r="L298" s="726"/>
      <c r="P298" s="726"/>
      <c r="T298" s="726"/>
      <c r="X298" s="726"/>
      <c r="AB298" s="726"/>
      <c r="AF298" s="726"/>
      <c r="AG298" s="726"/>
      <c r="AK298" s="726"/>
    </row>
    <row r="299" spans="4:37" x14ac:dyDescent="0.3">
      <c r="D299" s="726"/>
      <c r="H299" s="726"/>
      <c r="L299" s="726"/>
      <c r="P299" s="726"/>
      <c r="T299" s="726"/>
      <c r="X299" s="726"/>
      <c r="AB299" s="726"/>
      <c r="AF299" s="726"/>
      <c r="AG299" s="726"/>
      <c r="AK299" s="726"/>
    </row>
    <row r="300" spans="4:37" x14ac:dyDescent="0.3">
      <c r="D300" s="726"/>
      <c r="H300" s="726"/>
      <c r="L300" s="726"/>
      <c r="P300" s="726"/>
      <c r="T300" s="726"/>
      <c r="X300" s="726"/>
      <c r="AB300" s="726"/>
      <c r="AF300" s="726"/>
      <c r="AG300" s="726"/>
      <c r="AK300" s="726"/>
    </row>
    <row r="301" spans="4:37" x14ac:dyDescent="0.3">
      <c r="D301" s="726"/>
      <c r="H301" s="726"/>
      <c r="L301" s="726"/>
      <c r="P301" s="726"/>
      <c r="T301" s="726"/>
      <c r="X301" s="726"/>
      <c r="AB301" s="726"/>
      <c r="AF301" s="726"/>
      <c r="AG301" s="726"/>
      <c r="AK301" s="726"/>
    </row>
    <row r="302" spans="4:37" x14ac:dyDescent="0.3">
      <c r="D302" s="726"/>
      <c r="H302" s="726"/>
      <c r="L302" s="726"/>
      <c r="P302" s="726"/>
      <c r="T302" s="726"/>
      <c r="X302" s="726"/>
      <c r="AB302" s="726"/>
      <c r="AF302" s="726"/>
      <c r="AG302" s="726"/>
      <c r="AK302" s="726"/>
    </row>
    <row r="303" spans="4:37" x14ac:dyDescent="0.3">
      <c r="D303" s="726"/>
      <c r="H303" s="726"/>
      <c r="L303" s="726"/>
      <c r="P303" s="726"/>
      <c r="T303" s="726"/>
      <c r="X303" s="726"/>
      <c r="AB303" s="726"/>
      <c r="AF303" s="726"/>
      <c r="AG303" s="726"/>
      <c r="AK303" s="726"/>
    </row>
    <row r="304" spans="4:37" x14ac:dyDescent="0.3">
      <c r="D304" s="726"/>
      <c r="H304" s="726"/>
      <c r="L304" s="726"/>
      <c r="P304" s="726"/>
      <c r="T304" s="726"/>
      <c r="X304" s="726"/>
      <c r="AB304" s="726"/>
      <c r="AF304" s="726"/>
      <c r="AG304" s="726"/>
      <c r="AK304" s="726"/>
    </row>
    <row r="305" spans="4:37" x14ac:dyDescent="0.3">
      <c r="D305" s="726"/>
      <c r="H305" s="726"/>
      <c r="L305" s="726"/>
      <c r="P305" s="726"/>
      <c r="T305" s="726"/>
      <c r="X305" s="726"/>
      <c r="AB305" s="726"/>
      <c r="AF305" s="726"/>
      <c r="AG305" s="726"/>
      <c r="AK305" s="726"/>
    </row>
    <row r="306" spans="4:37" x14ac:dyDescent="0.3">
      <c r="D306" s="726"/>
      <c r="H306" s="726"/>
      <c r="L306" s="726"/>
      <c r="P306" s="726"/>
      <c r="T306" s="726"/>
      <c r="X306" s="726"/>
      <c r="AB306" s="726"/>
      <c r="AF306" s="726"/>
      <c r="AG306" s="726"/>
      <c r="AK306" s="726"/>
    </row>
    <row r="307" spans="4:37" x14ac:dyDescent="0.3">
      <c r="D307" s="726"/>
      <c r="H307" s="726"/>
      <c r="L307" s="726"/>
      <c r="P307" s="726"/>
      <c r="T307" s="726"/>
      <c r="X307" s="726"/>
      <c r="AB307" s="726"/>
      <c r="AF307" s="726"/>
      <c r="AG307" s="726"/>
      <c r="AK307" s="726"/>
    </row>
    <row r="308" spans="4:37" x14ac:dyDescent="0.3">
      <c r="D308" s="726"/>
      <c r="H308" s="726"/>
      <c r="L308" s="726"/>
      <c r="P308" s="726"/>
      <c r="T308" s="726"/>
      <c r="X308" s="726"/>
      <c r="AB308" s="726"/>
      <c r="AF308" s="726"/>
      <c r="AG308" s="726"/>
      <c r="AK308" s="726"/>
    </row>
    <row r="309" spans="4:37" x14ac:dyDescent="0.3">
      <c r="D309" s="726"/>
      <c r="H309" s="726"/>
      <c r="L309" s="726"/>
      <c r="P309" s="726"/>
      <c r="T309" s="726"/>
      <c r="X309" s="726"/>
      <c r="AB309" s="726"/>
      <c r="AF309" s="726"/>
      <c r="AG309" s="726"/>
      <c r="AK309" s="726"/>
    </row>
    <row r="310" spans="4:37" x14ac:dyDescent="0.3">
      <c r="D310" s="726"/>
      <c r="H310" s="726"/>
      <c r="L310" s="726"/>
      <c r="P310" s="726"/>
      <c r="T310" s="726"/>
      <c r="X310" s="726"/>
      <c r="AB310" s="726"/>
      <c r="AF310" s="726"/>
      <c r="AG310" s="726"/>
      <c r="AK310" s="726"/>
    </row>
    <row r="311" spans="4:37" x14ac:dyDescent="0.3">
      <c r="D311" s="726"/>
      <c r="H311" s="726"/>
      <c r="L311" s="726"/>
      <c r="P311" s="726"/>
      <c r="T311" s="726"/>
      <c r="X311" s="726"/>
      <c r="AB311" s="726"/>
      <c r="AF311" s="726"/>
      <c r="AG311" s="726"/>
      <c r="AK311" s="726"/>
    </row>
    <row r="312" spans="4:37" x14ac:dyDescent="0.3">
      <c r="D312" s="726"/>
      <c r="H312" s="726"/>
      <c r="L312" s="726"/>
      <c r="P312" s="726"/>
      <c r="T312" s="726"/>
      <c r="X312" s="726"/>
      <c r="AB312" s="726"/>
      <c r="AF312" s="726"/>
      <c r="AG312" s="726"/>
      <c r="AK312" s="726"/>
    </row>
    <row r="313" spans="4:37" x14ac:dyDescent="0.3">
      <c r="D313" s="726"/>
      <c r="H313" s="726"/>
      <c r="L313" s="726"/>
      <c r="P313" s="726"/>
      <c r="T313" s="726"/>
      <c r="X313" s="726"/>
      <c r="AB313" s="726"/>
      <c r="AF313" s="726"/>
      <c r="AG313" s="726"/>
      <c r="AK313" s="726"/>
    </row>
    <row r="314" spans="4:37" x14ac:dyDescent="0.3">
      <c r="D314" s="726"/>
      <c r="H314" s="726"/>
      <c r="L314" s="726"/>
      <c r="P314" s="726"/>
      <c r="T314" s="726"/>
      <c r="X314" s="726"/>
      <c r="AB314" s="726"/>
      <c r="AF314" s="726"/>
      <c r="AG314" s="726"/>
      <c r="AK314" s="726"/>
    </row>
    <row r="315" spans="4:37" x14ac:dyDescent="0.3">
      <c r="D315" s="726"/>
      <c r="H315" s="726"/>
      <c r="L315" s="726"/>
      <c r="P315" s="726"/>
      <c r="T315" s="726"/>
      <c r="X315" s="726"/>
      <c r="AB315" s="726"/>
      <c r="AF315" s="726"/>
      <c r="AG315" s="726"/>
      <c r="AK315" s="726"/>
    </row>
    <row r="316" spans="4:37" x14ac:dyDescent="0.3">
      <c r="D316" s="726"/>
      <c r="H316" s="726"/>
      <c r="L316" s="726"/>
      <c r="P316" s="726"/>
      <c r="T316" s="726"/>
      <c r="X316" s="726"/>
      <c r="AB316" s="726"/>
      <c r="AF316" s="726"/>
      <c r="AG316" s="726"/>
      <c r="AK316" s="726"/>
    </row>
    <row r="317" spans="4:37" x14ac:dyDescent="0.3">
      <c r="D317" s="726"/>
      <c r="H317" s="726"/>
      <c r="L317" s="726"/>
      <c r="P317" s="726"/>
      <c r="T317" s="726"/>
      <c r="X317" s="726"/>
      <c r="AB317" s="726"/>
      <c r="AF317" s="726"/>
      <c r="AG317" s="726"/>
      <c r="AK317" s="726"/>
    </row>
    <row r="318" spans="4:37" x14ac:dyDescent="0.3">
      <c r="D318" s="726"/>
      <c r="H318" s="726"/>
      <c r="L318" s="726"/>
      <c r="P318" s="726"/>
      <c r="T318" s="726"/>
      <c r="X318" s="726"/>
      <c r="AB318" s="726"/>
      <c r="AF318" s="726"/>
      <c r="AG318" s="726"/>
      <c r="AK318" s="726"/>
    </row>
    <row r="319" spans="4:37" x14ac:dyDescent="0.3">
      <c r="D319" s="726"/>
      <c r="H319" s="726"/>
      <c r="L319" s="726"/>
      <c r="P319" s="726"/>
      <c r="T319" s="726"/>
      <c r="X319" s="726"/>
      <c r="AB319" s="726"/>
      <c r="AF319" s="726"/>
      <c r="AG319" s="726"/>
      <c r="AK319" s="726"/>
    </row>
    <row r="320" spans="4:37" x14ac:dyDescent="0.3">
      <c r="D320" s="726"/>
      <c r="H320" s="726"/>
      <c r="L320" s="726"/>
      <c r="P320" s="726"/>
      <c r="T320" s="726"/>
      <c r="X320" s="726"/>
      <c r="AB320" s="726"/>
      <c r="AF320" s="726"/>
      <c r="AG320" s="726"/>
      <c r="AK320" s="726"/>
    </row>
    <row r="321" spans="4:37" x14ac:dyDescent="0.3">
      <c r="D321" s="726"/>
      <c r="H321" s="726"/>
      <c r="L321" s="726"/>
      <c r="P321" s="726"/>
      <c r="T321" s="726"/>
      <c r="X321" s="726"/>
      <c r="AB321" s="726"/>
      <c r="AF321" s="726"/>
      <c r="AG321" s="726"/>
      <c r="AK321" s="726"/>
    </row>
    <row r="322" spans="4:37" x14ac:dyDescent="0.3">
      <c r="D322" s="726"/>
      <c r="H322" s="726"/>
      <c r="L322" s="726"/>
      <c r="P322" s="726"/>
      <c r="T322" s="726"/>
      <c r="X322" s="726"/>
      <c r="AB322" s="726"/>
      <c r="AF322" s="726"/>
      <c r="AG322" s="726"/>
      <c r="AK322" s="726"/>
    </row>
    <row r="323" spans="4:37" x14ac:dyDescent="0.3">
      <c r="D323" s="726"/>
      <c r="H323" s="726"/>
      <c r="L323" s="726"/>
      <c r="P323" s="726"/>
      <c r="T323" s="726"/>
      <c r="X323" s="726"/>
      <c r="AB323" s="726"/>
      <c r="AF323" s="726"/>
      <c r="AG323" s="726"/>
      <c r="AK323" s="726"/>
    </row>
    <row r="324" spans="4:37" x14ac:dyDescent="0.3">
      <c r="D324" s="726"/>
      <c r="H324" s="726"/>
      <c r="L324" s="726"/>
      <c r="P324" s="726"/>
      <c r="T324" s="726"/>
      <c r="X324" s="726"/>
      <c r="AB324" s="726"/>
      <c r="AF324" s="726"/>
      <c r="AG324" s="726"/>
      <c r="AK324" s="726"/>
    </row>
    <row r="325" spans="4:37" x14ac:dyDescent="0.3">
      <c r="D325" s="726"/>
      <c r="H325" s="726"/>
      <c r="L325" s="726"/>
      <c r="P325" s="726"/>
      <c r="T325" s="726"/>
      <c r="X325" s="726"/>
      <c r="AB325" s="726"/>
      <c r="AF325" s="726"/>
      <c r="AG325" s="726"/>
      <c r="AK325" s="726"/>
    </row>
    <row r="326" spans="4:37" x14ac:dyDescent="0.3">
      <c r="D326" s="726"/>
      <c r="H326" s="726"/>
      <c r="L326" s="726"/>
      <c r="P326" s="726"/>
      <c r="T326" s="726"/>
      <c r="X326" s="726"/>
      <c r="AB326" s="726"/>
      <c r="AF326" s="726"/>
      <c r="AG326" s="726"/>
      <c r="AK326" s="726"/>
    </row>
    <row r="327" spans="4:37" x14ac:dyDescent="0.3">
      <c r="D327" s="726"/>
      <c r="H327" s="726"/>
      <c r="L327" s="726"/>
      <c r="P327" s="726"/>
      <c r="T327" s="726"/>
      <c r="X327" s="726"/>
      <c r="AB327" s="726"/>
      <c r="AF327" s="726"/>
      <c r="AG327" s="726"/>
      <c r="AK327" s="726"/>
    </row>
    <row r="328" spans="4:37" x14ac:dyDescent="0.3">
      <c r="D328" s="726"/>
      <c r="H328" s="726"/>
      <c r="L328" s="726"/>
      <c r="P328" s="726"/>
      <c r="T328" s="726"/>
      <c r="X328" s="726"/>
      <c r="AB328" s="726"/>
      <c r="AF328" s="726"/>
      <c r="AG328" s="726"/>
      <c r="AK328" s="726"/>
    </row>
    <row r="329" spans="4:37" x14ac:dyDescent="0.3">
      <c r="D329" s="726"/>
      <c r="H329" s="726"/>
      <c r="L329" s="726"/>
      <c r="P329" s="726"/>
      <c r="T329" s="726"/>
      <c r="X329" s="726"/>
      <c r="AB329" s="726"/>
      <c r="AF329" s="726"/>
      <c r="AG329" s="726"/>
      <c r="AK329" s="726"/>
    </row>
    <row r="330" spans="4:37" x14ac:dyDescent="0.3">
      <c r="D330" s="726"/>
      <c r="H330" s="726"/>
      <c r="L330" s="726"/>
      <c r="P330" s="726"/>
      <c r="T330" s="726"/>
      <c r="X330" s="726"/>
      <c r="AB330" s="726"/>
      <c r="AF330" s="726"/>
      <c r="AG330" s="726"/>
      <c r="AK330" s="726"/>
    </row>
    <row r="331" spans="4:37" x14ac:dyDescent="0.3">
      <c r="D331" s="726"/>
      <c r="H331" s="726"/>
      <c r="L331" s="726"/>
      <c r="P331" s="726"/>
      <c r="T331" s="726"/>
      <c r="X331" s="726"/>
      <c r="AB331" s="726"/>
      <c r="AF331" s="726"/>
      <c r="AG331" s="726"/>
      <c r="AK331" s="726"/>
    </row>
    <row r="332" spans="4:37" x14ac:dyDescent="0.3">
      <c r="D332" s="726"/>
      <c r="H332" s="726"/>
      <c r="L332" s="726"/>
      <c r="P332" s="726"/>
      <c r="T332" s="726"/>
      <c r="X332" s="726"/>
      <c r="AB332" s="726"/>
      <c r="AF332" s="726"/>
      <c r="AG332" s="726"/>
      <c r="AK332" s="726"/>
    </row>
    <row r="333" spans="4:37" x14ac:dyDescent="0.3">
      <c r="D333" s="726"/>
      <c r="H333" s="726"/>
      <c r="L333" s="726"/>
      <c r="P333" s="726"/>
      <c r="T333" s="726"/>
      <c r="X333" s="726"/>
      <c r="AB333" s="726"/>
      <c r="AF333" s="726"/>
      <c r="AG333" s="726"/>
      <c r="AK333" s="726"/>
    </row>
    <row r="334" spans="4:37" x14ac:dyDescent="0.3">
      <c r="D334" s="726"/>
      <c r="H334" s="726"/>
      <c r="L334" s="726"/>
      <c r="P334" s="726"/>
      <c r="T334" s="726"/>
      <c r="X334" s="726"/>
      <c r="AB334" s="726"/>
      <c r="AF334" s="726"/>
      <c r="AG334" s="726"/>
      <c r="AK334" s="726"/>
    </row>
    <row r="335" spans="4:37" x14ac:dyDescent="0.3">
      <c r="D335" s="726"/>
      <c r="H335" s="726"/>
      <c r="L335" s="726"/>
      <c r="P335" s="726"/>
      <c r="T335" s="726"/>
      <c r="X335" s="726"/>
      <c r="AB335" s="726"/>
      <c r="AF335" s="726"/>
      <c r="AG335" s="726"/>
      <c r="AK335" s="726"/>
    </row>
    <row r="336" spans="4:37" x14ac:dyDescent="0.3">
      <c r="D336" s="726"/>
      <c r="H336" s="726"/>
      <c r="L336" s="726"/>
      <c r="P336" s="726"/>
      <c r="T336" s="726"/>
      <c r="X336" s="726"/>
      <c r="AB336" s="726"/>
      <c r="AF336" s="726"/>
      <c r="AG336" s="726"/>
      <c r="AK336" s="726"/>
    </row>
    <row r="337" spans="4:37" x14ac:dyDescent="0.3">
      <c r="D337" s="726"/>
      <c r="H337" s="726"/>
      <c r="L337" s="726"/>
      <c r="P337" s="726"/>
      <c r="T337" s="726"/>
      <c r="X337" s="726"/>
      <c r="AB337" s="726"/>
      <c r="AF337" s="726"/>
      <c r="AG337" s="726"/>
      <c r="AK337" s="726"/>
    </row>
    <row r="338" spans="4:37" x14ac:dyDescent="0.3">
      <c r="D338" s="726"/>
      <c r="H338" s="726"/>
      <c r="L338" s="726"/>
      <c r="P338" s="726"/>
      <c r="T338" s="726"/>
      <c r="X338" s="726"/>
      <c r="AB338" s="726"/>
      <c r="AF338" s="726"/>
      <c r="AG338" s="726"/>
      <c r="AK338" s="726"/>
    </row>
    <row r="339" spans="4:37" x14ac:dyDescent="0.3">
      <c r="D339" s="726"/>
      <c r="H339" s="726"/>
      <c r="L339" s="726"/>
      <c r="P339" s="726"/>
      <c r="T339" s="726"/>
      <c r="X339" s="726"/>
      <c r="AB339" s="726"/>
      <c r="AF339" s="726"/>
      <c r="AG339" s="726"/>
      <c r="AK339" s="726"/>
    </row>
    <row r="340" spans="4:37" x14ac:dyDescent="0.3">
      <c r="D340" s="726"/>
      <c r="H340" s="726"/>
      <c r="L340" s="726"/>
      <c r="P340" s="726"/>
      <c r="T340" s="726"/>
      <c r="X340" s="726"/>
      <c r="AB340" s="726"/>
      <c r="AF340" s="726"/>
      <c r="AG340" s="726"/>
      <c r="AK340" s="726"/>
    </row>
    <row r="341" spans="4:37" x14ac:dyDescent="0.3">
      <c r="D341" s="726"/>
      <c r="H341" s="726"/>
      <c r="L341" s="726"/>
      <c r="P341" s="726"/>
      <c r="T341" s="726"/>
      <c r="X341" s="726"/>
      <c r="AB341" s="726"/>
      <c r="AF341" s="726"/>
      <c r="AG341" s="726"/>
      <c r="AK341" s="726"/>
    </row>
    <row r="342" spans="4:37" x14ac:dyDescent="0.3">
      <c r="D342" s="726"/>
      <c r="H342" s="726"/>
      <c r="L342" s="726"/>
      <c r="P342" s="726"/>
      <c r="T342" s="726"/>
      <c r="X342" s="726"/>
      <c r="AB342" s="726"/>
      <c r="AF342" s="726"/>
      <c r="AG342" s="726"/>
      <c r="AK342" s="726"/>
    </row>
    <row r="343" spans="4:37" x14ac:dyDescent="0.3">
      <c r="D343" s="726"/>
      <c r="H343" s="726"/>
      <c r="L343" s="726"/>
      <c r="P343" s="726"/>
      <c r="T343" s="726"/>
      <c r="X343" s="726"/>
      <c r="AB343" s="726"/>
      <c r="AF343" s="726"/>
      <c r="AG343" s="726"/>
      <c r="AK343" s="726"/>
    </row>
    <row r="344" spans="4:37" x14ac:dyDescent="0.3">
      <c r="D344" s="726"/>
      <c r="H344" s="726"/>
      <c r="L344" s="726"/>
      <c r="P344" s="726"/>
      <c r="T344" s="726"/>
      <c r="X344" s="726"/>
      <c r="AB344" s="726"/>
      <c r="AF344" s="726"/>
      <c r="AG344" s="726"/>
      <c r="AK344" s="726"/>
    </row>
    <row r="345" spans="4:37" x14ac:dyDescent="0.3">
      <c r="D345" s="726"/>
      <c r="H345" s="726"/>
      <c r="L345" s="726"/>
      <c r="P345" s="726"/>
      <c r="T345" s="726"/>
      <c r="X345" s="726"/>
      <c r="AB345" s="726"/>
      <c r="AF345" s="726"/>
      <c r="AG345" s="726"/>
      <c r="AK345" s="726"/>
    </row>
    <row r="346" spans="4:37" x14ac:dyDescent="0.3">
      <c r="D346" s="726"/>
      <c r="H346" s="726"/>
      <c r="L346" s="726"/>
      <c r="P346" s="726"/>
      <c r="T346" s="726"/>
      <c r="X346" s="726"/>
      <c r="AB346" s="726"/>
      <c r="AF346" s="726"/>
      <c r="AG346" s="726"/>
      <c r="AK346" s="726"/>
    </row>
    <row r="347" spans="4:37" x14ac:dyDescent="0.3">
      <c r="D347" s="726"/>
      <c r="H347" s="726"/>
      <c r="L347" s="726"/>
      <c r="P347" s="726"/>
      <c r="T347" s="726"/>
      <c r="X347" s="726"/>
      <c r="AB347" s="726"/>
      <c r="AF347" s="726"/>
      <c r="AG347" s="726"/>
      <c r="AK347" s="726"/>
    </row>
    <row r="348" spans="4:37" x14ac:dyDescent="0.3">
      <c r="D348" s="726"/>
      <c r="H348" s="726"/>
      <c r="L348" s="726"/>
      <c r="P348" s="726"/>
      <c r="T348" s="726"/>
      <c r="X348" s="726"/>
      <c r="AB348" s="726"/>
      <c r="AF348" s="726"/>
      <c r="AG348" s="726"/>
      <c r="AK348" s="726"/>
    </row>
    <row r="349" spans="4:37" x14ac:dyDescent="0.3">
      <c r="D349" s="726"/>
      <c r="H349" s="726"/>
      <c r="L349" s="726"/>
      <c r="P349" s="726"/>
      <c r="T349" s="726"/>
      <c r="X349" s="726"/>
      <c r="AB349" s="726"/>
      <c r="AF349" s="726"/>
      <c r="AG349" s="726"/>
      <c r="AK349" s="726"/>
    </row>
    <row r="350" spans="4:37" x14ac:dyDescent="0.3">
      <c r="D350" s="726"/>
      <c r="H350" s="726"/>
      <c r="L350" s="726"/>
      <c r="P350" s="726"/>
      <c r="T350" s="726"/>
      <c r="X350" s="726"/>
      <c r="AB350" s="726"/>
      <c r="AF350" s="726"/>
      <c r="AG350" s="726"/>
      <c r="AK350" s="726"/>
    </row>
    <row r="351" spans="4:37" x14ac:dyDescent="0.3">
      <c r="D351" s="726"/>
      <c r="H351" s="726"/>
      <c r="L351" s="726"/>
      <c r="P351" s="726"/>
      <c r="T351" s="726"/>
      <c r="X351" s="726"/>
      <c r="AB351" s="726"/>
      <c r="AF351" s="726"/>
      <c r="AG351" s="726"/>
      <c r="AK351" s="726"/>
    </row>
    <row r="352" spans="4:37" x14ac:dyDescent="0.3">
      <c r="D352" s="726"/>
      <c r="H352" s="726"/>
      <c r="L352" s="726"/>
      <c r="P352" s="726"/>
      <c r="T352" s="726"/>
      <c r="X352" s="726"/>
      <c r="AB352" s="726"/>
      <c r="AF352" s="726"/>
      <c r="AG352" s="726"/>
      <c r="AK352" s="726"/>
    </row>
    <row r="353" spans="4:37" x14ac:dyDescent="0.3">
      <c r="D353" s="726"/>
      <c r="H353" s="726"/>
      <c r="L353" s="726"/>
      <c r="P353" s="726"/>
      <c r="T353" s="726"/>
      <c r="X353" s="726"/>
      <c r="AB353" s="726"/>
      <c r="AF353" s="726"/>
      <c r="AG353" s="726"/>
      <c r="AK353" s="726"/>
    </row>
    <row r="354" spans="4:37" x14ac:dyDescent="0.3">
      <c r="D354" s="726"/>
      <c r="H354" s="726"/>
      <c r="L354" s="726"/>
      <c r="P354" s="726"/>
      <c r="T354" s="726"/>
      <c r="X354" s="726"/>
      <c r="AB354" s="726"/>
      <c r="AF354" s="726"/>
      <c r="AG354" s="726"/>
      <c r="AK354" s="726"/>
    </row>
    <row r="355" spans="4:37" x14ac:dyDescent="0.3">
      <c r="D355" s="726"/>
      <c r="H355" s="726"/>
      <c r="L355" s="726"/>
      <c r="P355" s="726"/>
      <c r="T355" s="726"/>
      <c r="X355" s="726"/>
      <c r="AB355" s="726"/>
      <c r="AF355" s="726"/>
      <c r="AG355" s="726"/>
      <c r="AK355" s="726"/>
    </row>
    <row r="356" spans="4:37" x14ac:dyDescent="0.3">
      <c r="D356" s="726"/>
      <c r="H356" s="726"/>
      <c r="L356" s="726"/>
      <c r="P356" s="726"/>
      <c r="T356" s="726"/>
      <c r="X356" s="726"/>
      <c r="AB356" s="726"/>
      <c r="AF356" s="726"/>
      <c r="AG356" s="726"/>
      <c r="AK356" s="726"/>
    </row>
    <row r="357" spans="4:37" x14ac:dyDescent="0.3">
      <c r="D357" s="726"/>
      <c r="H357" s="726"/>
      <c r="L357" s="726"/>
      <c r="P357" s="726"/>
      <c r="T357" s="726"/>
      <c r="X357" s="726"/>
      <c r="AB357" s="726"/>
      <c r="AF357" s="726"/>
      <c r="AG357" s="726"/>
      <c r="AK357" s="726"/>
    </row>
    <row r="358" spans="4:37" x14ac:dyDescent="0.3">
      <c r="D358" s="726"/>
      <c r="H358" s="726"/>
      <c r="L358" s="726"/>
      <c r="P358" s="726"/>
      <c r="T358" s="726"/>
      <c r="X358" s="726"/>
      <c r="AB358" s="726"/>
      <c r="AF358" s="726"/>
      <c r="AG358" s="726"/>
      <c r="AK358" s="726"/>
    </row>
    <row r="359" spans="4:37" x14ac:dyDescent="0.3">
      <c r="D359" s="726"/>
      <c r="H359" s="726"/>
      <c r="L359" s="726"/>
      <c r="P359" s="726"/>
      <c r="T359" s="726"/>
      <c r="X359" s="726"/>
      <c r="AB359" s="726"/>
      <c r="AF359" s="726"/>
      <c r="AG359" s="726"/>
      <c r="AK359" s="726"/>
    </row>
    <row r="360" spans="4:37" x14ac:dyDescent="0.3">
      <c r="D360" s="726"/>
      <c r="H360" s="726"/>
      <c r="L360" s="726"/>
      <c r="P360" s="726"/>
      <c r="T360" s="726"/>
      <c r="X360" s="726"/>
      <c r="AB360" s="726"/>
      <c r="AF360" s="726"/>
      <c r="AG360" s="726"/>
      <c r="AK360" s="726"/>
    </row>
    <row r="361" spans="4:37" x14ac:dyDescent="0.3">
      <c r="D361" s="726"/>
      <c r="H361" s="726"/>
      <c r="L361" s="726"/>
      <c r="P361" s="726"/>
      <c r="T361" s="726"/>
      <c r="X361" s="726"/>
      <c r="AB361" s="726"/>
      <c r="AF361" s="726"/>
      <c r="AG361" s="726"/>
      <c r="AK361" s="726"/>
    </row>
    <row r="362" spans="4:37" x14ac:dyDescent="0.3">
      <c r="D362" s="726"/>
      <c r="H362" s="726"/>
      <c r="L362" s="726"/>
      <c r="P362" s="726"/>
      <c r="T362" s="726"/>
      <c r="X362" s="726"/>
      <c r="AB362" s="726"/>
      <c r="AF362" s="726"/>
      <c r="AG362" s="726"/>
      <c r="AK362" s="726"/>
    </row>
    <row r="363" spans="4:37" x14ac:dyDescent="0.3">
      <c r="D363" s="726"/>
      <c r="H363" s="726"/>
      <c r="L363" s="726"/>
      <c r="P363" s="726"/>
      <c r="T363" s="726"/>
      <c r="X363" s="726"/>
      <c r="AB363" s="726"/>
      <c r="AF363" s="726"/>
      <c r="AG363" s="726"/>
      <c r="AK363" s="726"/>
    </row>
    <row r="364" spans="4:37" x14ac:dyDescent="0.3">
      <c r="D364" s="726"/>
      <c r="H364" s="726"/>
      <c r="L364" s="726"/>
      <c r="P364" s="726"/>
      <c r="T364" s="726"/>
      <c r="X364" s="726"/>
      <c r="AB364" s="726"/>
      <c r="AF364" s="726"/>
      <c r="AG364" s="726"/>
      <c r="AK364" s="726"/>
    </row>
    <row r="365" spans="4:37" x14ac:dyDescent="0.3">
      <c r="D365" s="726"/>
      <c r="H365" s="726"/>
      <c r="L365" s="726"/>
      <c r="P365" s="726"/>
      <c r="T365" s="726"/>
      <c r="X365" s="726"/>
      <c r="AB365" s="726"/>
      <c r="AF365" s="726"/>
      <c r="AG365" s="726"/>
      <c r="AK365" s="726"/>
    </row>
    <row r="366" spans="4:37" x14ac:dyDescent="0.3">
      <c r="D366" s="726"/>
      <c r="H366" s="726"/>
      <c r="L366" s="726"/>
      <c r="P366" s="726"/>
      <c r="T366" s="726"/>
      <c r="X366" s="726"/>
      <c r="AB366" s="726"/>
      <c r="AF366" s="726"/>
      <c r="AG366" s="726"/>
      <c r="AK366" s="726"/>
    </row>
    <row r="367" spans="4:37" x14ac:dyDescent="0.3">
      <c r="D367" s="726"/>
      <c r="H367" s="726"/>
      <c r="L367" s="726"/>
      <c r="P367" s="726"/>
      <c r="T367" s="726"/>
      <c r="X367" s="726"/>
      <c r="AB367" s="726"/>
      <c r="AF367" s="726"/>
      <c r="AG367" s="726"/>
      <c r="AK367" s="726"/>
    </row>
    <row r="368" spans="4:37" x14ac:dyDescent="0.3">
      <c r="D368" s="726"/>
      <c r="H368" s="726"/>
      <c r="L368" s="726"/>
      <c r="P368" s="726"/>
      <c r="T368" s="726"/>
      <c r="X368" s="726"/>
      <c r="AB368" s="726"/>
      <c r="AF368" s="726"/>
      <c r="AG368" s="726"/>
      <c r="AK368" s="726"/>
    </row>
    <row r="369" spans="4:37" x14ac:dyDescent="0.3">
      <c r="D369" s="726"/>
      <c r="H369" s="726"/>
      <c r="L369" s="726"/>
      <c r="P369" s="726"/>
      <c r="T369" s="726"/>
      <c r="X369" s="726"/>
      <c r="AB369" s="726"/>
      <c r="AF369" s="726"/>
      <c r="AG369" s="726"/>
      <c r="AK369" s="726"/>
    </row>
    <row r="370" spans="4:37" x14ac:dyDescent="0.3">
      <c r="D370" s="726"/>
      <c r="H370" s="726"/>
      <c r="L370" s="726"/>
      <c r="P370" s="726"/>
      <c r="T370" s="726"/>
      <c r="X370" s="726"/>
      <c r="AB370" s="726"/>
      <c r="AF370" s="726"/>
      <c r="AG370" s="726"/>
      <c r="AK370" s="726"/>
    </row>
    <row r="371" spans="4:37" x14ac:dyDescent="0.3">
      <c r="D371" s="726"/>
      <c r="H371" s="726"/>
      <c r="L371" s="726"/>
      <c r="P371" s="726"/>
      <c r="T371" s="726"/>
      <c r="X371" s="726"/>
      <c r="AB371" s="726"/>
      <c r="AF371" s="726"/>
      <c r="AG371" s="726"/>
      <c r="AK371" s="726"/>
    </row>
  </sheetData>
  <sortState xmlns:xlrd2="http://schemas.microsoft.com/office/spreadsheetml/2017/richdata2" ref="A18:AS29">
    <sortCondition ref="B18:B29"/>
  </sortState>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67" orientation="landscape" r:id="rId1"/>
  <headerFooter alignWithMargins="0">
    <oddHeader>&amp;C&amp;"-,Bold"Proposed Budget &amp; Analysis Report for FY20</oddHeader>
    <oddFooter>&amp;C&amp;D&amp;T&amp;R&amp;A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3:AR372"/>
  <sheetViews>
    <sheetView zoomScaleNormal="100" zoomScaleSheetLayoutView="100" workbookViewId="0">
      <selection activeCell="C15" sqref="C15"/>
    </sheetView>
  </sheetViews>
  <sheetFormatPr defaultRowHeight="16.5" x14ac:dyDescent="0.3"/>
  <cols>
    <col min="1" max="1" width="19" style="698" bestFit="1" customWidth="1"/>
    <col min="2" max="2" width="5.7109375" style="698" customWidth="1"/>
    <col min="3" max="3" width="40.85546875" style="698" customWidth="1"/>
    <col min="4" max="4" width="10.28515625" style="698" hidden="1" customWidth="1"/>
    <col min="5" max="5" width="11.42578125" style="698" hidden="1" customWidth="1"/>
    <col min="6" max="6" width="7.7109375" style="698" hidden="1" customWidth="1"/>
    <col min="7" max="7" width="1.5703125" style="692" hidden="1" customWidth="1"/>
    <col min="8" max="8" width="10.28515625" style="698" hidden="1" customWidth="1"/>
    <col min="9" max="9" width="11.42578125" style="698" hidden="1" customWidth="1"/>
    <col min="10" max="10" width="7.7109375" style="698" hidden="1" customWidth="1"/>
    <col min="11" max="11" width="1.5703125" style="692" hidden="1" customWidth="1"/>
    <col min="12" max="12" width="10.28515625" style="698" hidden="1" customWidth="1"/>
    <col min="13" max="13" width="11.42578125" style="698" hidden="1" customWidth="1"/>
    <col min="14" max="14" width="7.7109375" style="698" hidden="1" customWidth="1"/>
    <col min="15" max="15" width="1.5703125" style="692" hidden="1" customWidth="1"/>
    <col min="16" max="16" width="10.28515625" style="698" hidden="1" customWidth="1"/>
    <col min="17" max="17" width="11.42578125" style="698" hidden="1" customWidth="1"/>
    <col min="18" max="18" width="7.7109375" style="698" hidden="1" customWidth="1"/>
    <col min="19" max="19" width="1.5703125" style="692" hidden="1" customWidth="1"/>
    <col min="20" max="20" width="10.28515625" style="698" hidden="1" customWidth="1"/>
    <col min="21" max="21" width="11.42578125" style="698" hidden="1" customWidth="1"/>
    <col min="22" max="22" width="7.7109375" style="698" hidden="1" customWidth="1"/>
    <col min="23" max="23" width="1.5703125" style="692" hidden="1" customWidth="1"/>
    <col min="24" max="24" width="8.5703125" style="698" hidden="1" customWidth="1"/>
    <col min="25" max="25" width="10.140625" style="698" hidden="1" customWidth="1"/>
    <col min="26" max="26" width="7.7109375" style="698" hidden="1" customWidth="1"/>
    <col min="27" max="27" width="1.5703125" style="692" hidden="1" customWidth="1"/>
    <col min="28" max="28" width="13.5703125" style="698" customWidth="1"/>
    <col min="29" max="29" width="12.85546875" style="698" customWidth="1"/>
    <col min="30" max="30" width="8" style="698" bestFit="1" customWidth="1"/>
    <col min="31" max="31" width="5" style="692" customWidth="1"/>
    <col min="32" max="32" width="8.5703125" style="698" hidden="1" customWidth="1"/>
    <col min="33" max="33" width="12" style="698" customWidth="1"/>
    <col min="34" max="34" width="11.42578125" style="698" customWidth="1"/>
    <col min="35" max="35" width="9.28515625" style="698" bestFit="1" customWidth="1"/>
    <col min="36" max="36" width="4.42578125" style="698" customWidth="1"/>
    <col min="37" max="37" width="11.5703125" style="698" customWidth="1"/>
    <col min="38" max="38" width="12.5703125" style="698" customWidth="1"/>
    <col min="39" max="39" width="9.28515625" style="698" bestFit="1" customWidth="1"/>
    <col min="40" max="40" width="4.42578125" style="698" customWidth="1"/>
    <col min="41" max="41" width="12.5703125" style="704" customWidth="1"/>
    <col min="42" max="42" width="11" style="704" customWidth="1"/>
    <col min="43" max="43" width="11.42578125" style="698" customWidth="1"/>
    <col min="44" max="44" width="26.28515625" style="698" customWidth="1"/>
    <col min="45" max="16384" width="9.140625" style="698"/>
  </cols>
  <sheetData>
    <row r="3" spans="1:44" s="686" customFormat="1" ht="14.25" x14ac:dyDescent="0.2">
      <c r="D3" s="798" t="s">
        <v>1366</v>
      </c>
      <c r="E3" s="799"/>
      <c r="F3" s="800"/>
      <c r="G3" s="687"/>
      <c r="H3" s="798" t="s">
        <v>1365</v>
      </c>
      <c r="I3" s="799"/>
      <c r="J3" s="800"/>
      <c r="K3" s="687"/>
      <c r="L3" s="798" t="s">
        <v>1364</v>
      </c>
      <c r="M3" s="799"/>
      <c r="N3" s="800"/>
      <c r="O3" s="687"/>
      <c r="P3" s="798" t="s">
        <v>110</v>
      </c>
      <c r="Q3" s="799"/>
      <c r="R3" s="800"/>
      <c r="S3" s="687"/>
      <c r="T3" s="798" t="s">
        <v>271</v>
      </c>
      <c r="U3" s="799"/>
      <c r="V3" s="800"/>
      <c r="W3" s="687"/>
      <c r="X3" s="798" t="s">
        <v>980</v>
      </c>
      <c r="Y3" s="799"/>
      <c r="Z3" s="800"/>
      <c r="AA3" s="687"/>
      <c r="AB3" s="798" t="s">
        <v>1124</v>
      </c>
      <c r="AC3" s="799"/>
      <c r="AD3" s="800"/>
      <c r="AE3" s="687"/>
      <c r="AF3" s="798" t="s">
        <v>1363</v>
      </c>
      <c r="AG3" s="799"/>
      <c r="AH3" s="799"/>
      <c r="AI3" s="800"/>
      <c r="AJ3" s="687"/>
      <c r="AK3" s="798" t="s">
        <v>1592</v>
      </c>
      <c r="AL3" s="799"/>
      <c r="AM3" s="800"/>
      <c r="AN3" s="687"/>
      <c r="AO3" s="801" t="s">
        <v>1593</v>
      </c>
      <c r="AP3" s="801"/>
      <c r="AQ3" s="801"/>
      <c r="AR3" s="801"/>
    </row>
    <row r="4" spans="1:44" ht="49.5" x14ac:dyDescent="0.3">
      <c r="A4" s="689" t="s">
        <v>272</v>
      </c>
      <c r="B4" s="689"/>
      <c r="C4" s="690" t="s">
        <v>1610</v>
      </c>
      <c r="D4" s="691" t="s">
        <v>98</v>
      </c>
      <c r="E4" s="691" t="s">
        <v>27</v>
      </c>
      <c r="F4" s="691" t="s">
        <v>273</v>
      </c>
      <c r="H4" s="691" t="s">
        <v>98</v>
      </c>
      <c r="I4" s="691" t="s">
        <v>27</v>
      </c>
      <c r="J4" s="691" t="s">
        <v>273</v>
      </c>
      <c r="L4" s="691" t="s">
        <v>98</v>
      </c>
      <c r="M4" s="691" t="s">
        <v>27</v>
      </c>
      <c r="N4" s="691" t="s">
        <v>273</v>
      </c>
      <c r="P4" s="691" t="s">
        <v>98</v>
      </c>
      <c r="Q4" s="691" t="s">
        <v>27</v>
      </c>
      <c r="R4" s="691" t="s">
        <v>273</v>
      </c>
      <c r="T4" s="691" t="s">
        <v>98</v>
      </c>
      <c r="U4" s="691" t="s">
        <v>27</v>
      </c>
      <c r="V4" s="691" t="s">
        <v>273</v>
      </c>
      <c r="X4" s="691" t="s">
        <v>98</v>
      </c>
      <c r="Y4" s="691" t="s">
        <v>27</v>
      </c>
      <c r="Z4" s="691" t="s">
        <v>273</v>
      </c>
      <c r="AB4" s="691" t="s">
        <v>98</v>
      </c>
      <c r="AC4" s="691" t="s">
        <v>27</v>
      </c>
      <c r="AD4" s="691" t="s">
        <v>273</v>
      </c>
      <c r="AF4" s="691" t="s">
        <v>98</v>
      </c>
      <c r="AG4" s="741" t="s">
        <v>1369</v>
      </c>
      <c r="AH4" s="691" t="s">
        <v>27</v>
      </c>
      <c r="AI4" s="691" t="s">
        <v>273</v>
      </c>
      <c r="AJ4" s="692"/>
      <c r="AK4" s="691" t="s">
        <v>98</v>
      </c>
      <c r="AL4" s="694" t="s">
        <v>1714</v>
      </c>
      <c r="AM4" s="691" t="s">
        <v>273</v>
      </c>
      <c r="AN4" s="692"/>
      <c r="AO4" s="695" t="s">
        <v>274</v>
      </c>
      <c r="AP4" s="696" t="s">
        <v>107</v>
      </c>
      <c r="AQ4" s="742" t="s">
        <v>28</v>
      </c>
      <c r="AR4" s="743" t="s">
        <v>275</v>
      </c>
    </row>
    <row r="5" spans="1:44" x14ac:dyDescent="0.3">
      <c r="C5" s="686" t="s">
        <v>276</v>
      </c>
      <c r="AJ5" s="692"/>
      <c r="AN5" s="692"/>
      <c r="AO5" s="692"/>
      <c r="AP5" s="692"/>
      <c r="AR5" s="686"/>
    </row>
    <row r="6" spans="1:44" x14ac:dyDescent="0.3">
      <c r="D6" s="714"/>
      <c r="E6" s="714"/>
      <c r="F6" s="701"/>
      <c r="H6" s="714"/>
      <c r="I6" s="714"/>
      <c r="J6" s="701"/>
      <c r="L6" s="714"/>
      <c r="M6" s="714"/>
      <c r="N6" s="701"/>
      <c r="P6" s="714"/>
      <c r="Q6" s="714"/>
      <c r="R6" s="701"/>
      <c r="T6" s="714"/>
      <c r="U6" s="714"/>
      <c r="V6" s="701"/>
      <c r="X6" s="714"/>
      <c r="Y6" s="714"/>
      <c r="Z6" s="701"/>
      <c r="AB6" s="714"/>
      <c r="AC6" s="714"/>
      <c r="AD6" s="701"/>
      <c r="AF6" s="704"/>
      <c r="AG6" s="704"/>
      <c r="AH6" s="714"/>
      <c r="AI6" s="701"/>
      <c r="AJ6" s="692"/>
      <c r="AK6" s="704"/>
      <c r="AL6" s="714"/>
      <c r="AM6" s="701"/>
      <c r="AN6" s="692"/>
      <c r="AQ6" s="701"/>
    </row>
    <row r="7" spans="1:44" s="712" customFormat="1" x14ac:dyDescent="0.3">
      <c r="A7" s="708"/>
      <c r="B7" s="708"/>
      <c r="C7" s="708" t="s">
        <v>26</v>
      </c>
      <c r="D7" s="709">
        <v>0</v>
      </c>
      <c r="E7" s="709">
        <v>0</v>
      </c>
      <c r="F7" s="710"/>
      <c r="G7" s="708"/>
      <c r="H7" s="709">
        <v>0</v>
      </c>
      <c r="I7" s="709">
        <v>0</v>
      </c>
      <c r="J7" s="710"/>
      <c r="K7" s="708"/>
      <c r="L7" s="709">
        <v>0</v>
      </c>
      <c r="M7" s="709">
        <v>0</v>
      </c>
      <c r="N7" s="710"/>
      <c r="O7" s="708"/>
      <c r="P7" s="709">
        <v>0</v>
      </c>
      <c r="Q7" s="709">
        <v>0</v>
      </c>
      <c r="R7" s="710"/>
      <c r="S7" s="708"/>
      <c r="T7" s="709">
        <v>0</v>
      </c>
      <c r="U7" s="709">
        <v>0</v>
      </c>
      <c r="V7" s="710"/>
      <c r="W7" s="708"/>
      <c r="X7" s="709">
        <v>0</v>
      </c>
      <c r="Y7" s="709">
        <v>0</v>
      </c>
      <c r="Z7" s="710"/>
      <c r="AA7" s="708"/>
      <c r="AB7" s="709">
        <v>0</v>
      </c>
      <c r="AC7" s="709">
        <v>0</v>
      </c>
      <c r="AD7" s="710"/>
      <c r="AE7" s="708"/>
      <c r="AF7" s="711"/>
      <c r="AG7" s="711"/>
      <c r="AH7" s="709"/>
      <c r="AI7" s="710"/>
      <c r="AJ7" s="708"/>
      <c r="AK7" s="711"/>
      <c r="AL7" s="709"/>
      <c r="AM7" s="710"/>
      <c r="AN7" s="708"/>
      <c r="AO7" s="711"/>
      <c r="AP7" s="709"/>
      <c r="AQ7" s="710"/>
      <c r="AR7" s="708"/>
    </row>
    <row r="8" spans="1:44" x14ac:dyDescent="0.3">
      <c r="D8" s="714"/>
      <c r="E8" s="714"/>
      <c r="F8" s="701"/>
      <c r="H8" s="714"/>
      <c r="I8" s="714"/>
      <c r="J8" s="701"/>
      <c r="L8" s="714"/>
      <c r="M8" s="714"/>
      <c r="N8" s="701"/>
      <c r="P8" s="714"/>
      <c r="Q8" s="714"/>
      <c r="R8" s="701"/>
      <c r="T8" s="714"/>
      <c r="U8" s="714"/>
      <c r="V8" s="701"/>
      <c r="X8" s="714"/>
      <c r="Y8" s="714"/>
      <c r="Z8" s="701"/>
      <c r="AB8" s="714"/>
      <c r="AC8" s="714"/>
      <c r="AD8" s="701"/>
      <c r="AF8" s="704"/>
      <c r="AG8" s="704"/>
      <c r="AH8" s="714"/>
      <c r="AI8" s="701"/>
      <c r="AJ8" s="692"/>
      <c r="AK8" s="704"/>
      <c r="AL8" s="714"/>
      <c r="AM8" s="701"/>
      <c r="AN8" s="692"/>
      <c r="AQ8" s="701"/>
    </row>
    <row r="9" spans="1:44" x14ac:dyDescent="0.3">
      <c r="C9" s="686" t="s">
        <v>277</v>
      </c>
      <c r="D9" s="714"/>
      <c r="E9" s="714"/>
      <c r="F9" s="701"/>
      <c r="H9" s="714"/>
      <c r="I9" s="714"/>
      <c r="J9" s="701"/>
      <c r="L9" s="714"/>
      <c r="M9" s="714"/>
      <c r="N9" s="701"/>
      <c r="P9" s="714"/>
      <c r="Q9" s="714"/>
      <c r="R9" s="701"/>
      <c r="T9" s="714"/>
      <c r="U9" s="714"/>
      <c r="V9" s="701"/>
      <c r="X9" s="714"/>
      <c r="Y9" s="714"/>
      <c r="Z9" s="701"/>
      <c r="AB9" s="714"/>
      <c r="AC9" s="714"/>
      <c r="AD9" s="701"/>
      <c r="AF9" s="704"/>
      <c r="AG9" s="704"/>
      <c r="AH9" s="714"/>
      <c r="AI9" s="701"/>
      <c r="AJ9" s="692"/>
      <c r="AK9" s="704"/>
      <c r="AL9" s="714"/>
      <c r="AM9" s="701"/>
      <c r="AN9" s="692"/>
      <c r="AQ9" s="701"/>
      <c r="AR9" s="686"/>
    </row>
    <row r="10" spans="1:44" x14ac:dyDescent="0.3">
      <c r="A10" s="699" t="s">
        <v>1241</v>
      </c>
      <c r="B10" s="699" t="s">
        <v>298</v>
      </c>
      <c r="C10" s="698" t="s">
        <v>1599</v>
      </c>
      <c r="D10" s="714">
        <v>0</v>
      </c>
      <c r="E10" s="714">
        <v>0</v>
      </c>
      <c r="F10" s="701"/>
      <c r="H10" s="714">
        <v>0</v>
      </c>
      <c r="I10" s="714">
        <v>0</v>
      </c>
      <c r="J10" s="701"/>
      <c r="L10" s="714">
        <v>0</v>
      </c>
      <c r="M10" s="714">
        <v>0</v>
      </c>
      <c r="N10" s="701"/>
      <c r="P10" s="714">
        <v>0</v>
      </c>
      <c r="Q10" s="714">
        <v>0</v>
      </c>
      <c r="R10" s="701"/>
      <c r="T10" s="714">
        <v>0</v>
      </c>
      <c r="U10" s="714">
        <v>48.3</v>
      </c>
      <c r="V10" s="701"/>
      <c r="X10" s="714">
        <v>0</v>
      </c>
      <c r="Y10" s="714">
        <v>0</v>
      </c>
      <c r="Z10" s="701"/>
      <c r="AB10" s="714">
        <v>0</v>
      </c>
      <c r="AC10" s="714">
        <v>0</v>
      </c>
      <c r="AD10" s="701"/>
      <c r="AF10" s="704"/>
      <c r="AG10" s="704"/>
      <c r="AH10" s="714"/>
      <c r="AI10" s="701"/>
      <c r="AJ10" s="692"/>
      <c r="AK10" s="704"/>
      <c r="AL10" s="714"/>
      <c r="AM10" s="701"/>
      <c r="AN10" s="692"/>
      <c r="AO10" s="706"/>
      <c r="AP10" s="704">
        <f>AO10-AK10</f>
        <v>0</v>
      </c>
      <c r="AQ10" s="701"/>
      <c r="AR10" s="705"/>
    </row>
    <row r="11" spans="1:44" x14ac:dyDescent="0.3">
      <c r="A11" s="698" t="s">
        <v>318</v>
      </c>
      <c r="B11" s="699" t="s">
        <v>949</v>
      </c>
      <c r="C11" s="698" t="s">
        <v>1480</v>
      </c>
      <c r="D11" s="714">
        <v>200</v>
      </c>
      <c r="E11" s="714">
        <v>191.94</v>
      </c>
      <c r="F11" s="701"/>
      <c r="H11" s="714">
        <v>200</v>
      </c>
      <c r="I11" s="714">
        <v>84.42</v>
      </c>
      <c r="J11" s="701"/>
      <c r="L11" s="714">
        <v>200</v>
      </c>
      <c r="M11" s="714">
        <v>150.22999999999999</v>
      </c>
      <c r="N11" s="701"/>
      <c r="P11" s="714">
        <v>200</v>
      </c>
      <c r="Q11" s="714">
        <v>254.6</v>
      </c>
      <c r="R11" s="701"/>
      <c r="T11" s="714">
        <v>200</v>
      </c>
      <c r="U11" s="714">
        <v>675.86</v>
      </c>
      <c r="V11" s="701"/>
      <c r="X11" s="714">
        <v>400</v>
      </c>
      <c r="Y11" s="714">
        <v>51.45</v>
      </c>
      <c r="Z11" s="701"/>
      <c r="AB11" s="714">
        <v>400</v>
      </c>
      <c r="AC11" s="714">
        <v>255.05</v>
      </c>
      <c r="AD11" s="701"/>
      <c r="AF11" s="714">
        <v>400</v>
      </c>
      <c r="AG11" s="714">
        <v>400</v>
      </c>
      <c r="AH11" s="714">
        <v>106.56</v>
      </c>
      <c r="AI11" s="701">
        <v>0</v>
      </c>
      <c r="AJ11" s="692"/>
      <c r="AK11" s="714">
        <v>400</v>
      </c>
      <c r="AL11" s="714"/>
      <c r="AM11" s="701">
        <f>(AK11-AG11)/AG11</f>
        <v>0</v>
      </c>
      <c r="AN11" s="692"/>
      <c r="AO11" s="706">
        <v>300</v>
      </c>
      <c r="AP11" s="704">
        <f>AO11-AK11</f>
        <v>-100</v>
      </c>
      <c r="AQ11" s="701">
        <f>AP11/AK11</f>
        <v>-0.25</v>
      </c>
      <c r="AR11" s="705"/>
    </row>
    <row r="12" spans="1:44" x14ac:dyDescent="0.3">
      <c r="A12" s="698" t="s">
        <v>319</v>
      </c>
      <c r="B12" s="699" t="s">
        <v>312</v>
      </c>
      <c r="C12" s="698" t="s">
        <v>1594</v>
      </c>
      <c r="D12" s="714">
        <v>123</v>
      </c>
      <c r="E12" s="714">
        <v>126</v>
      </c>
      <c r="F12" s="701"/>
      <c r="H12" s="714">
        <v>126</v>
      </c>
      <c r="I12" s="714">
        <v>126</v>
      </c>
      <c r="J12" s="701"/>
      <c r="L12" s="714">
        <v>126</v>
      </c>
      <c r="M12" s="714">
        <v>126</v>
      </c>
      <c r="N12" s="701"/>
      <c r="P12" s="714">
        <v>126</v>
      </c>
      <c r="Q12" s="714">
        <v>129</v>
      </c>
      <c r="R12" s="701"/>
      <c r="T12" s="714">
        <v>150</v>
      </c>
      <c r="U12" s="714">
        <v>129</v>
      </c>
      <c r="V12" s="701"/>
      <c r="X12" s="714">
        <v>150</v>
      </c>
      <c r="Y12" s="714">
        <v>129</v>
      </c>
      <c r="Z12" s="701"/>
      <c r="AB12" s="714">
        <v>150</v>
      </c>
      <c r="AC12" s="714">
        <v>129</v>
      </c>
      <c r="AD12" s="701"/>
      <c r="AF12" s="714">
        <v>150</v>
      </c>
      <c r="AG12" s="714">
        <v>150</v>
      </c>
      <c r="AH12" s="714">
        <v>135</v>
      </c>
      <c r="AI12" s="701">
        <v>0</v>
      </c>
      <c r="AJ12" s="692"/>
      <c r="AK12" s="714">
        <v>150</v>
      </c>
      <c r="AL12" s="714">
        <v>135</v>
      </c>
      <c r="AM12" s="701">
        <f>(AK12-AG12)/AG12</f>
        <v>0</v>
      </c>
      <c r="AN12" s="692"/>
      <c r="AO12" s="706">
        <v>150</v>
      </c>
      <c r="AP12" s="704">
        <f>AO12-AK12</f>
        <v>0</v>
      </c>
      <c r="AQ12" s="701">
        <f>AP12/AG12</f>
        <v>0</v>
      </c>
      <c r="AR12" s="705" t="s">
        <v>320</v>
      </c>
    </row>
    <row r="13" spans="1:44" s="712" customFormat="1" x14ac:dyDescent="0.3">
      <c r="A13" s="715"/>
      <c r="B13" s="715"/>
      <c r="C13" s="715" t="s">
        <v>279</v>
      </c>
      <c r="D13" s="716">
        <f>SUM(D10:D12)</f>
        <v>323</v>
      </c>
      <c r="E13" s="716">
        <f>SUM(E10:E12)</f>
        <v>317.94</v>
      </c>
      <c r="F13" s="717">
        <v>0</v>
      </c>
      <c r="G13" s="715"/>
      <c r="H13" s="716">
        <f>SUM(H10:H12)</f>
        <v>326</v>
      </c>
      <c r="I13" s="716">
        <f>SUM(I10:I12)</f>
        <v>210.42000000000002</v>
      </c>
      <c r="J13" s="717">
        <v>0</v>
      </c>
      <c r="K13" s="715"/>
      <c r="L13" s="716">
        <f>SUM(L10:L12)</f>
        <v>326</v>
      </c>
      <c r="M13" s="716">
        <f>SUM(M10:M12)</f>
        <v>276.23</v>
      </c>
      <c r="N13" s="717">
        <v>0</v>
      </c>
      <c r="O13" s="715"/>
      <c r="P13" s="716">
        <f>SUM(P10:P12)</f>
        <v>326</v>
      </c>
      <c r="Q13" s="716">
        <f>SUM(Q10:Q12)</f>
        <v>383.6</v>
      </c>
      <c r="R13" s="717">
        <v>0</v>
      </c>
      <c r="S13" s="715"/>
      <c r="T13" s="716">
        <f>SUM(T10:T12)</f>
        <v>350</v>
      </c>
      <c r="U13" s="716">
        <f>SUM(U10:U12)</f>
        <v>853.16</v>
      </c>
      <c r="V13" s="717">
        <v>0</v>
      </c>
      <c r="W13" s="715"/>
      <c r="X13" s="716">
        <f>SUM(X10:X12)</f>
        <v>550</v>
      </c>
      <c r="Y13" s="716">
        <f>SUM(Y10:Y12)</f>
        <v>180.45</v>
      </c>
      <c r="Z13" s="718">
        <f>(X13-T13)/T13</f>
        <v>0.5714285714285714</v>
      </c>
      <c r="AA13" s="715"/>
      <c r="AB13" s="716">
        <f>SUM(AB10:AB12)</f>
        <v>550</v>
      </c>
      <c r="AC13" s="716">
        <f>SUM(AC10:AC12)</f>
        <v>384.05</v>
      </c>
      <c r="AD13" s="717">
        <f>(AB13-X13)/X13</f>
        <v>0</v>
      </c>
      <c r="AE13" s="715"/>
      <c r="AF13" s="716">
        <f>SUM(AF10:AF12)</f>
        <v>550</v>
      </c>
      <c r="AG13" s="716">
        <f>SUM(AG10:AG12)</f>
        <v>550</v>
      </c>
      <c r="AH13" s="716">
        <f>SUM(AH10:AH12)</f>
        <v>241.56</v>
      </c>
      <c r="AI13" s="717">
        <f>(AG13-AB13)/AB13</f>
        <v>0</v>
      </c>
      <c r="AJ13" s="715"/>
      <c r="AK13" s="716">
        <f>SUM(AK10:AK12)</f>
        <v>550</v>
      </c>
      <c r="AL13" s="716">
        <f>SUM(AL10:AL12)</f>
        <v>135</v>
      </c>
      <c r="AM13" s="717">
        <f>(AK13-AG13)/AG13</f>
        <v>0</v>
      </c>
      <c r="AN13" s="715"/>
      <c r="AO13" s="719">
        <f>SUM(AO10:AO12)</f>
        <v>450</v>
      </c>
      <c r="AP13" s="716">
        <f>SUM(AP10:AP12)</f>
        <v>-100</v>
      </c>
      <c r="AQ13" s="717">
        <f>AP13/AK13</f>
        <v>-0.18181818181818182</v>
      </c>
      <c r="AR13" s="715"/>
    </row>
    <row r="14" spans="1:44" x14ac:dyDescent="0.3">
      <c r="D14" s="714"/>
      <c r="E14" s="714"/>
      <c r="F14" s="701"/>
      <c r="H14" s="714"/>
      <c r="I14" s="714"/>
      <c r="J14" s="701"/>
      <c r="L14" s="714"/>
      <c r="M14" s="714"/>
      <c r="N14" s="701"/>
      <c r="P14" s="714"/>
      <c r="Q14" s="714"/>
      <c r="R14" s="701"/>
      <c r="T14" s="714"/>
      <c r="U14" s="714"/>
      <c r="V14" s="701"/>
      <c r="X14" s="714"/>
      <c r="Y14" s="714"/>
      <c r="Z14" s="701"/>
      <c r="AB14" s="714"/>
      <c r="AC14" s="714"/>
      <c r="AD14" s="701"/>
      <c r="AF14" s="714"/>
      <c r="AG14" s="714"/>
      <c r="AH14" s="714"/>
      <c r="AI14" s="701"/>
      <c r="AJ14" s="692"/>
      <c r="AK14" s="714"/>
      <c r="AL14" s="714"/>
      <c r="AM14" s="701"/>
      <c r="AN14" s="692"/>
      <c r="AQ14" s="701"/>
    </row>
    <row r="15" spans="1:44" s="712" customFormat="1" ht="14.25" x14ac:dyDescent="0.2">
      <c r="A15" s="720"/>
      <c r="B15" s="720"/>
      <c r="C15" s="721" t="s">
        <v>280</v>
      </c>
      <c r="D15" s="722">
        <f>D7+D13</f>
        <v>323</v>
      </c>
      <c r="E15" s="722">
        <f>E7+E13</f>
        <v>317.94</v>
      </c>
      <c r="F15" s="723"/>
      <c r="G15" s="720"/>
      <c r="H15" s="722">
        <f>H7+H13</f>
        <v>326</v>
      </c>
      <c r="I15" s="722">
        <f>I7+I13</f>
        <v>210.42000000000002</v>
      </c>
      <c r="J15" s="723"/>
      <c r="K15" s="720"/>
      <c r="L15" s="722">
        <f>L7+L13</f>
        <v>326</v>
      </c>
      <c r="M15" s="722">
        <f>M7+M13</f>
        <v>276.23</v>
      </c>
      <c r="N15" s="723"/>
      <c r="O15" s="720"/>
      <c r="P15" s="722">
        <f>P7+P13</f>
        <v>326</v>
      </c>
      <c r="Q15" s="722">
        <f>Q7+Q13</f>
        <v>383.6</v>
      </c>
      <c r="R15" s="723"/>
      <c r="S15" s="720"/>
      <c r="T15" s="722">
        <f>T7+T13</f>
        <v>350</v>
      </c>
      <c r="U15" s="722">
        <f>U7+U13</f>
        <v>853.16</v>
      </c>
      <c r="V15" s="723"/>
      <c r="W15" s="720"/>
      <c r="X15" s="722">
        <f>X7+X13</f>
        <v>550</v>
      </c>
      <c r="Y15" s="722">
        <f>Y7+Y13</f>
        <v>180.45</v>
      </c>
      <c r="Z15" s="723">
        <f>(X15-T15)/T15</f>
        <v>0.5714285714285714</v>
      </c>
      <c r="AA15" s="720"/>
      <c r="AB15" s="722">
        <f>AB7+AB13</f>
        <v>550</v>
      </c>
      <c r="AC15" s="722">
        <f>AC7+AC13</f>
        <v>384.05</v>
      </c>
      <c r="AD15" s="723">
        <f>(AB15-X15)/X15</f>
        <v>0</v>
      </c>
      <c r="AE15" s="720"/>
      <c r="AF15" s="722">
        <f>AF7+AF13</f>
        <v>550</v>
      </c>
      <c r="AG15" s="722">
        <f>AG7+AG13</f>
        <v>550</v>
      </c>
      <c r="AH15" s="722">
        <f>AH7+AH13</f>
        <v>241.56</v>
      </c>
      <c r="AI15" s="723">
        <f>(AG15-AB15)/AB15</f>
        <v>0</v>
      </c>
      <c r="AJ15" s="720"/>
      <c r="AK15" s="722">
        <f>AK7+AK13</f>
        <v>550</v>
      </c>
      <c r="AL15" s="722">
        <f>AL7+AL13</f>
        <v>135</v>
      </c>
      <c r="AM15" s="723">
        <f>(AK15-AG15)/AG15</f>
        <v>0</v>
      </c>
      <c r="AN15" s="720"/>
      <c r="AO15" s="725">
        <f>AO7+AO13</f>
        <v>450</v>
      </c>
      <c r="AP15" s="725">
        <f>AP7+AP13</f>
        <v>-100</v>
      </c>
      <c r="AQ15" s="723">
        <f>AP15/AK15</f>
        <v>-0.18181818181818182</v>
      </c>
      <c r="AR15" s="744"/>
    </row>
    <row r="16" spans="1:44" x14ac:dyDescent="0.3">
      <c r="D16" s="726"/>
      <c r="F16" s="701"/>
      <c r="H16" s="726"/>
      <c r="J16" s="701"/>
      <c r="L16" s="726"/>
      <c r="N16" s="701"/>
      <c r="P16" s="726"/>
      <c r="R16" s="701"/>
      <c r="T16" s="726"/>
      <c r="V16" s="701"/>
      <c r="X16" s="726"/>
      <c r="AB16" s="726"/>
      <c r="AF16" s="726"/>
      <c r="AG16" s="726"/>
      <c r="AJ16" s="692"/>
      <c r="AK16" s="726"/>
      <c r="AN16" s="692"/>
    </row>
    <row r="17" spans="3:42" s="686" customFormat="1" ht="17.25" thickBot="1" x14ac:dyDescent="0.35">
      <c r="C17" s="686" t="s">
        <v>281</v>
      </c>
      <c r="D17" s="727"/>
      <c r="E17" s="728">
        <f>D15-E15</f>
        <v>5.0600000000000023</v>
      </c>
      <c r="F17" s="701"/>
      <c r="G17" s="687"/>
      <c r="H17" s="727"/>
      <c r="I17" s="728">
        <f>H15-I15</f>
        <v>115.57999999999998</v>
      </c>
      <c r="J17" s="701"/>
      <c r="K17" s="687"/>
      <c r="L17" s="727"/>
      <c r="M17" s="728">
        <f>L15-M15</f>
        <v>49.769999999999982</v>
      </c>
      <c r="N17" s="701"/>
      <c r="O17" s="687"/>
      <c r="P17" s="727"/>
      <c r="Q17" s="728">
        <f>P15-Q15</f>
        <v>-57.600000000000023</v>
      </c>
      <c r="R17" s="701"/>
      <c r="S17" s="687"/>
      <c r="T17" s="727"/>
      <c r="U17" s="728">
        <f>T15-U15</f>
        <v>-503.15999999999997</v>
      </c>
      <c r="V17" s="701"/>
      <c r="W17" s="687"/>
      <c r="X17" s="727"/>
      <c r="Y17" s="728">
        <f>X15-Y15</f>
        <v>369.55</v>
      </c>
      <c r="AA17" s="687"/>
      <c r="AB17" s="727"/>
      <c r="AC17" s="728">
        <f>AB15-AC15</f>
        <v>165.95</v>
      </c>
      <c r="AE17" s="687"/>
      <c r="AF17" s="727"/>
      <c r="AG17" s="727"/>
      <c r="AH17" s="728">
        <f>AG15-AH15</f>
        <v>308.44</v>
      </c>
      <c r="AJ17" s="687"/>
      <c r="AK17" s="727"/>
      <c r="AL17" s="728">
        <f>AK15-AL15</f>
        <v>415</v>
      </c>
      <c r="AN17" s="687"/>
      <c r="AO17" s="745"/>
      <c r="AP17" s="745"/>
    </row>
    <row r="18" spans="3:42" ht="17.25" thickTop="1" x14ac:dyDescent="0.3">
      <c r="D18" s="726"/>
      <c r="F18" s="701"/>
      <c r="H18" s="726"/>
      <c r="J18" s="701"/>
      <c r="L18" s="726"/>
      <c r="N18" s="701"/>
      <c r="P18" s="726"/>
      <c r="R18" s="701"/>
      <c r="T18" s="726"/>
      <c r="V18" s="701"/>
      <c r="X18" s="726"/>
      <c r="AB18" s="726"/>
      <c r="AF18" s="726"/>
      <c r="AG18" s="726"/>
      <c r="AJ18" s="692"/>
      <c r="AK18" s="726"/>
      <c r="AN18" s="692"/>
    </row>
    <row r="19" spans="3:42" x14ac:dyDescent="0.3">
      <c r="D19" s="726"/>
      <c r="F19" s="701"/>
      <c r="H19" s="726"/>
      <c r="J19" s="701"/>
      <c r="L19" s="726"/>
      <c r="N19" s="701"/>
      <c r="P19" s="726"/>
      <c r="R19" s="701"/>
      <c r="T19" s="726"/>
      <c r="V19" s="701"/>
      <c r="X19" s="726"/>
      <c r="AB19" s="726"/>
      <c r="AF19" s="726"/>
      <c r="AG19" s="726"/>
      <c r="AK19" s="726"/>
    </row>
    <row r="20" spans="3:42" x14ac:dyDescent="0.3">
      <c r="D20" s="726"/>
      <c r="F20" s="701"/>
      <c r="H20" s="726"/>
      <c r="J20" s="701"/>
      <c r="L20" s="726"/>
      <c r="N20" s="701"/>
      <c r="P20" s="726"/>
      <c r="R20" s="701"/>
      <c r="T20" s="726"/>
      <c r="V20" s="701"/>
      <c r="X20" s="726"/>
      <c r="AB20" s="726"/>
      <c r="AF20" s="726"/>
      <c r="AG20" s="726"/>
      <c r="AK20" s="726"/>
    </row>
    <row r="21" spans="3:42" x14ac:dyDescent="0.3">
      <c r="D21" s="726"/>
      <c r="F21" s="701"/>
      <c r="H21" s="726"/>
      <c r="J21" s="701"/>
      <c r="L21" s="726"/>
      <c r="N21" s="701"/>
      <c r="P21" s="726"/>
      <c r="R21" s="701"/>
      <c r="T21" s="726"/>
      <c r="V21" s="701"/>
      <c r="X21" s="726"/>
      <c r="AB21" s="726"/>
      <c r="AF21" s="726"/>
      <c r="AG21" s="726"/>
      <c r="AK21" s="726"/>
    </row>
    <row r="22" spans="3:42" x14ac:dyDescent="0.3">
      <c r="D22" s="726"/>
      <c r="F22" s="701"/>
      <c r="H22" s="726"/>
      <c r="J22" s="701"/>
      <c r="L22" s="726"/>
      <c r="N22" s="701"/>
      <c r="P22" s="726"/>
      <c r="R22" s="701"/>
      <c r="T22" s="726"/>
      <c r="V22" s="701"/>
      <c r="X22" s="726"/>
      <c r="AB22" s="726"/>
      <c r="AF22" s="726"/>
      <c r="AG22" s="726"/>
      <c r="AK22" s="726"/>
    </row>
    <row r="23" spans="3:42" x14ac:dyDescent="0.3">
      <c r="D23" s="726"/>
      <c r="F23" s="701"/>
      <c r="H23" s="726"/>
      <c r="J23" s="701"/>
      <c r="L23" s="726"/>
      <c r="N23" s="701"/>
      <c r="P23" s="726"/>
      <c r="R23" s="701"/>
      <c r="T23" s="726"/>
      <c r="V23" s="701"/>
      <c r="X23" s="726"/>
      <c r="AB23" s="726"/>
      <c r="AF23" s="726"/>
      <c r="AG23" s="726"/>
      <c r="AK23" s="726"/>
    </row>
    <row r="24" spans="3:42" x14ac:dyDescent="0.3">
      <c r="D24" s="726"/>
      <c r="F24" s="701"/>
      <c r="H24" s="726"/>
      <c r="J24" s="701"/>
      <c r="L24" s="726"/>
      <c r="N24" s="701"/>
      <c r="P24" s="726"/>
      <c r="R24" s="701"/>
      <c r="T24" s="726"/>
      <c r="V24" s="701"/>
      <c r="X24" s="726"/>
      <c r="AB24" s="726"/>
      <c r="AF24" s="726"/>
      <c r="AG24" s="726"/>
      <c r="AK24" s="726"/>
    </row>
    <row r="25" spans="3:42" x14ac:dyDescent="0.3">
      <c r="D25" s="726"/>
      <c r="F25" s="701"/>
      <c r="H25" s="726"/>
      <c r="J25" s="701"/>
      <c r="L25" s="726"/>
      <c r="N25" s="701"/>
      <c r="P25" s="726"/>
      <c r="R25" s="701"/>
      <c r="T25" s="726"/>
      <c r="V25" s="701"/>
      <c r="X25" s="726"/>
      <c r="AB25" s="726"/>
      <c r="AF25" s="726"/>
      <c r="AG25" s="726"/>
      <c r="AK25" s="726"/>
    </row>
    <row r="26" spans="3:42" x14ac:dyDescent="0.3">
      <c r="D26" s="726"/>
      <c r="F26" s="701"/>
      <c r="H26" s="726"/>
      <c r="J26" s="701"/>
      <c r="L26" s="726"/>
      <c r="N26" s="701"/>
      <c r="P26" s="726"/>
      <c r="R26" s="701"/>
      <c r="T26" s="726"/>
      <c r="V26" s="701"/>
      <c r="X26" s="726"/>
      <c r="AB26" s="726"/>
      <c r="AF26" s="726"/>
      <c r="AG26" s="726"/>
      <c r="AK26" s="726"/>
    </row>
    <row r="27" spans="3:42" x14ac:dyDescent="0.3">
      <c r="D27" s="726"/>
      <c r="F27" s="701"/>
      <c r="H27" s="726"/>
      <c r="J27" s="701"/>
      <c r="L27" s="726"/>
      <c r="N27" s="701"/>
      <c r="P27" s="726"/>
      <c r="R27" s="701"/>
      <c r="T27" s="726"/>
      <c r="V27" s="701"/>
      <c r="X27" s="726"/>
      <c r="AB27" s="726"/>
      <c r="AF27" s="726"/>
      <c r="AG27" s="726"/>
      <c r="AK27" s="726"/>
    </row>
    <row r="28" spans="3:42" x14ac:dyDescent="0.3">
      <c r="D28" s="726"/>
      <c r="F28" s="701"/>
      <c r="H28" s="726"/>
      <c r="J28" s="701"/>
      <c r="L28" s="726"/>
      <c r="N28" s="701"/>
      <c r="P28" s="726"/>
      <c r="R28" s="701"/>
      <c r="T28" s="726"/>
      <c r="V28" s="701"/>
      <c r="X28" s="726"/>
      <c r="AB28" s="726"/>
      <c r="AF28" s="726"/>
      <c r="AG28" s="726"/>
      <c r="AK28" s="726"/>
    </row>
    <row r="29" spans="3:42" x14ac:dyDescent="0.3">
      <c r="D29" s="726"/>
      <c r="F29" s="701"/>
      <c r="H29" s="726"/>
      <c r="J29" s="701"/>
      <c r="L29" s="726"/>
      <c r="N29" s="701"/>
      <c r="P29" s="726"/>
      <c r="R29" s="701"/>
      <c r="T29" s="726"/>
      <c r="V29" s="701"/>
      <c r="X29" s="726"/>
      <c r="AB29" s="726"/>
      <c r="AF29" s="726"/>
      <c r="AG29" s="726"/>
      <c r="AK29" s="726"/>
    </row>
    <row r="30" spans="3:42" x14ac:dyDescent="0.3">
      <c r="D30" s="726"/>
      <c r="F30" s="701"/>
      <c r="H30" s="726"/>
      <c r="J30" s="701"/>
      <c r="L30" s="726"/>
      <c r="N30" s="701"/>
      <c r="P30" s="726"/>
      <c r="R30" s="701"/>
      <c r="T30" s="726"/>
      <c r="V30" s="701"/>
      <c r="X30" s="726"/>
      <c r="AB30" s="726"/>
      <c r="AF30" s="726"/>
      <c r="AG30" s="726"/>
      <c r="AK30" s="726"/>
    </row>
    <row r="31" spans="3:42" x14ac:dyDescent="0.3">
      <c r="D31" s="726"/>
      <c r="F31" s="701"/>
      <c r="H31" s="726"/>
      <c r="J31" s="701"/>
      <c r="L31" s="726"/>
      <c r="N31" s="701"/>
      <c r="P31" s="726"/>
      <c r="R31" s="701"/>
      <c r="T31" s="726"/>
      <c r="V31" s="701"/>
      <c r="X31" s="726"/>
      <c r="AB31" s="726"/>
      <c r="AF31" s="726"/>
      <c r="AG31" s="726"/>
      <c r="AK31" s="726"/>
    </row>
    <row r="32" spans="3:42" x14ac:dyDescent="0.3">
      <c r="D32" s="726"/>
      <c r="F32" s="701"/>
      <c r="H32" s="726"/>
      <c r="J32" s="701"/>
      <c r="L32" s="726"/>
      <c r="N32" s="701"/>
      <c r="P32" s="726"/>
      <c r="R32" s="701"/>
      <c r="T32" s="726"/>
      <c r="V32" s="701"/>
      <c r="X32" s="726"/>
      <c r="AB32" s="726"/>
      <c r="AF32" s="726"/>
      <c r="AG32" s="726"/>
      <c r="AK32" s="726"/>
    </row>
    <row r="33" spans="4:37" x14ac:dyDescent="0.3">
      <c r="D33" s="726"/>
      <c r="F33" s="701"/>
      <c r="H33" s="726"/>
      <c r="J33" s="701"/>
      <c r="L33" s="726"/>
      <c r="N33" s="701"/>
      <c r="P33" s="726"/>
      <c r="R33" s="701"/>
      <c r="T33" s="726"/>
      <c r="V33" s="701"/>
      <c r="X33" s="726"/>
      <c r="AB33" s="726"/>
      <c r="AF33" s="726"/>
      <c r="AG33" s="726"/>
      <c r="AK33" s="726"/>
    </row>
    <row r="34" spans="4:37" x14ac:dyDescent="0.3">
      <c r="D34" s="726"/>
      <c r="F34" s="701"/>
      <c r="H34" s="726"/>
      <c r="J34" s="701"/>
      <c r="L34" s="726"/>
      <c r="N34" s="701"/>
      <c r="P34" s="726"/>
      <c r="R34" s="701"/>
      <c r="T34" s="726"/>
      <c r="V34" s="701"/>
      <c r="X34" s="726"/>
      <c r="AB34" s="726"/>
      <c r="AF34" s="726"/>
      <c r="AG34" s="726"/>
      <c r="AK34" s="726"/>
    </row>
    <row r="35" spans="4:37" x14ac:dyDescent="0.3">
      <c r="D35" s="726"/>
      <c r="F35" s="701"/>
      <c r="H35" s="726"/>
      <c r="J35" s="701"/>
      <c r="L35" s="726"/>
      <c r="N35" s="701"/>
      <c r="P35" s="726"/>
      <c r="R35" s="701"/>
      <c r="T35" s="726"/>
      <c r="V35" s="701"/>
      <c r="X35" s="726"/>
      <c r="AB35" s="726"/>
      <c r="AF35" s="726"/>
      <c r="AG35" s="726"/>
      <c r="AK35" s="726"/>
    </row>
    <row r="36" spans="4:37" x14ac:dyDescent="0.3">
      <c r="D36" s="726"/>
      <c r="F36" s="701"/>
      <c r="H36" s="726"/>
      <c r="J36" s="701"/>
      <c r="L36" s="726"/>
      <c r="N36" s="701"/>
      <c r="P36" s="726"/>
      <c r="R36" s="701"/>
      <c r="T36" s="726"/>
      <c r="V36" s="701"/>
      <c r="X36" s="726"/>
      <c r="AB36" s="726"/>
      <c r="AF36" s="726"/>
      <c r="AG36" s="726"/>
      <c r="AK36" s="726"/>
    </row>
    <row r="37" spans="4:37" x14ac:dyDescent="0.3">
      <c r="D37" s="726"/>
      <c r="F37" s="701"/>
      <c r="H37" s="726"/>
      <c r="J37" s="701"/>
      <c r="L37" s="726"/>
      <c r="N37" s="701"/>
      <c r="P37" s="726"/>
      <c r="R37" s="701"/>
      <c r="T37" s="726"/>
      <c r="V37" s="701"/>
      <c r="X37" s="726"/>
      <c r="AB37" s="726"/>
      <c r="AF37" s="726"/>
      <c r="AG37" s="726"/>
      <c r="AK37" s="726"/>
    </row>
    <row r="38" spans="4:37" x14ac:dyDescent="0.3">
      <c r="D38" s="726"/>
      <c r="F38" s="701"/>
      <c r="H38" s="726"/>
      <c r="J38" s="701"/>
      <c r="L38" s="726"/>
      <c r="N38" s="701"/>
      <c r="P38" s="726"/>
      <c r="R38" s="701"/>
      <c r="T38" s="726"/>
      <c r="V38" s="701"/>
      <c r="X38" s="726"/>
      <c r="AB38" s="726"/>
      <c r="AF38" s="726"/>
      <c r="AG38" s="726"/>
      <c r="AK38" s="726"/>
    </row>
    <row r="39" spans="4:37" x14ac:dyDescent="0.3">
      <c r="D39" s="726"/>
      <c r="F39" s="701"/>
      <c r="H39" s="726"/>
      <c r="J39" s="701"/>
      <c r="L39" s="726"/>
      <c r="N39" s="701"/>
      <c r="P39" s="726"/>
      <c r="R39" s="701"/>
      <c r="T39" s="726"/>
      <c r="V39" s="701"/>
      <c r="X39" s="726"/>
      <c r="AB39" s="726"/>
      <c r="AF39" s="726"/>
      <c r="AG39" s="726"/>
      <c r="AK39" s="726"/>
    </row>
    <row r="40" spans="4:37" x14ac:dyDescent="0.3">
      <c r="D40" s="726"/>
      <c r="F40" s="701"/>
      <c r="H40" s="726"/>
      <c r="J40" s="701"/>
      <c r="L40" s="726"/>
      <c r="N40" s="701"/>
      <c r="P40" s="726"/>
      <c r="R40" s="701"/>
      <c r="T40" s="726"/>
      <c r="V40" s="701"/>
      <c r="X40" s="726"/>
      <c r="AB40" s="726"/>
      <c r="AF40" s="726"/>
      <c r="AG40" s="726"/>
      <c r="AK40" s="726"/>
    </row>
    <row r="41" spans="4:37" x14ac:dyDescent="0.3">
      <c r="D41" s="726"/>
      <c r="H41" s="726"/>
      <c r="L41" s="726"/>
      <c r="P41" s="726"/>
      <c r="T41" s="726"/>
      <c r="X41" s="726"/>
      <c r="AB41" s="726"/>
      <c r="AF41" s="726"/>
      <c r="AG41" s="726"/>
      <c r="AK41" s="726"/>
    </row>
    <row r="42" spans="4:37" x14ac:dyDescent="0.3">
      <c r="D42" s="726"/>
      <c r="H42" s="726"/>
      <c r="L42" s="726"/>
      <c r="P42" s="726"/>
      <c r="T42" s="726"/>
      <c r="X42" s="726"/>
      <c r="AB42" s="726"/>
      <c r="AF42" s="726"/>
      <c r="AG42" s="726"/>
      <c r="AK42" s="726"/>
    </row>
    <row r="43" spans="4:37" x14ac:dyDescent="0.3">
      <c r="D43" s="726"/>
      <c r="H43" s="726"/>
      <c r="L43" s="726"/>
      <c r="P43" s="726"/>
      <c r="T43" s="726"/>
      <c r="X43" s="726"/>
      <c r="AB43" s="726"/>
      <c r="AF43" s="726"/>
      <c r="AG43" s="726"/>
      <c r="AK43" s="726"/>
    </row>
    <row r="44" spans="4:37" x14ac:dyDescent="0.3">
      <c r="D44" s="726"/>
      <c r="H44" s="726"/>
      <c r="L44" s="726"/>
      <c r="P44" s="726"/>
      <c r="T44" s="726"/>
      <c r="X44" s="726"/>
      <c r="AB44" s="726"/>
      <c r="AF44" s="726"/>
      <c r="AG44" s="726"/>
      <c r="AK44" s="726"/>
    </row>
    <row r="45" spans="4:37" x14ac:dyDescent="0.3">
      <c r="D45" s="726"/>
      <c r="H45" s="726"/>
      <c r="L45" s="726"/>
      <c r="P45" s="726"/>
      <c r="T45" s="726"/>
      <c r="X45" s="726"/>
      <c r="AB45" s="726"/>
      <c r="AF45" s="726"/>
      <c r="AG45" s="726"/>
      <c r="AK45" s="726"/>
    </row>
    <row r="46" spans="4:37" x14ac:dyDescent="0.3">
      <c r="D46" s="726"/>
      <c r="H46" s="726"/>
      <c r="L46" s="726"/>
      <c r="P46" s="726"/>
      <c r="T46" s="726"/>
      <c r="X46" s="726"/>
      <c r="AB46" s="726"/>
      <c r="AF46" s="726"/>
      <c r="AG46" s="726"/>
      <c r="AK46" s="726"/>
    </row>
    <row r="47" spans="4:37" x14ac:dyDescent="0.3">
      <c r="D47" s="726"/>
      <c r="H47" s="726"/>
      <c r="L47" s="726"/>
      <c r="P47" s="726"/>
      <c r="T47" s="726"/>
      <c r="X47" s="726"/>
      <c r="AB47" s="726"/>
      <c r="AF47" s="726"/>
      <c r="AG47" s="726"/>
      <c r="AK47" s="726"/>
    </row>
    <row r="48" spans="4:37" x14ac:dyDescent="0.3">
      <c r="D48" s="726"/>
      <c r="H48" s="726"/>
      <c r="L48" s="726"/>
      <c r="P48" s="726"/>
      <c r="T48" s="726"/>
      <c r="X48" s="726"/>
      <c r="AB48" s="726"/>
      <c r="AF48" s="726"/>
      <c r="AG48" s="726"/>
      <c r="AK48" s="726"/>
    </row>
    <row r="49" spans="4:37" x14ac:dyDescent="0.3">
      <c r="D49" s="726"/>
      <c r="H49" s="726"/>
      <c r="L49" s="726"/>
      <c r="P49" s="726"/>
      <c r="T49" s="726"/>
      <c r="X49" s="726"/>
      <c r="AB49" s="726"/>
      <c r="AF49" s="726"/>
      <c r="AG49" s="726"/>
      <c r="AK49" s="726"/>
    </row>
    <row r="50" spans="4:37" x14ac:dyDescent="0.3">
      <c r="D50" s="726"/>
      <c r="H50" s="726"/>
      <c r="L50" s="726"/>
      <c r="P50" s="726"/>
      <c r="T50" s="726"/>
      <c r="X50" s="726"/>
      <c r="AB50" s="726"/>
      <c r="AF50" s="726"/>
      <c r="AG50" s="726"/>
      <c r="AK50" s="726"/>
    </row>
    <row r="51" spans="4:37" x14ac:dyDescent="0.3">
      <c r="D51" s="726"/>
      <c r="H51" s="726"/>
      <c r="L51" s="726"/>
      <c r="P51" s="726"/>
      <c r="T51" s="726"/>
      <c r="X51" s="726"/>
      <c r="AB51" s="726"/>
      <c r="AF51" s="726"/>
      <c r="AG51" s="726"/>
      <c r="AK51" s="726"/>
    </row>
    <row r="52" spans="4:37" x14ac:dyDescent="0.3">
      <c r="D52" s="726"/>
      <c r="H52" s="726"/>
      <c r="L52" s="726"/>
      <c r="P52" s="726"/>
      <c r="T52" s="726"/>
      <c r="X52" s="726"/>
      <c r="AB52" s="726"/>
      <c r="AF52" s="726"/>
      <c r="AG52" s="726"/>
      <c r="AK52" s="726"/>
    </row>
    <row r="53" spans="4:37" x14ac:dyDescent="0.3">
      <c r="D53" s="726"/>
      <c r="H53" s="726"/>
      <c r="L53" s="726"/>
      <c r="P53" s="726"/>
      <c r="T53" s="726"/>
      <c r="X53" s="726"/>
      <c r="AB53" s="726"/>
      <c r="AF53" s="726"/>
      <c r="AG53" s="726"/>
      <c r="AK53" s="726"/>
    </row>
    <row r="54" spans="4:37" x14ac:dyDescent="0.3">
      <c r="D54" s="726"/>
      <c r="H54" s="726"/>
      <c r="L54" s="726"/>
      <c r="P54" s="726"/>
      <c r="T54" s="726"/>
      <c r="X54" s="726"/>
      <c r="AB54" s="726"/>
      <c r="AF54" s="726"/>
      <c r="AG54" s="726"/>
      <c r="AK54" s="726"/>
    </row>
    <row r="55" spans="4:37" x14ac:dyDescent="0.3">
      <c r="D55" s="726"/>
      <c r="H55" s="726"/>
      <c r="L55" s="726"/>
      <c r="P55" s="726"/>
      <c r="T55" s="726"/>
      <c r="X55" s="726"/>
      <c r="AB55" s="726"/>
      <c r="AF55" s="726"/>
      <c r="AG55" s="726"/>
      <c r="AK55" s="726"/>
    </row>
    <row r="56" spans="4:37" x14ac:dyDescent="0.3">
      <c r="D56" s="726"/>
      <c r="H56" s="726"/>
      <c r="L56" s="726"/>
      <c r="P56" s="726"/>
      <c r="T56" s="726"/>
      <c r="X56" s="726"/>
      <c r="AB56" s="726"/>
      <c r="AF56" s="726"/>
      <c r="AG56" s="726"/>
      <c r="AK56" s="726"/>
    </row>
    <row r="57" spans="4:37" x14ac:dyDescent="0.3">
      <c r="D57" s="726"/>
      <c r="H57" s="726"/>
      <c r="L57" s="726"/>
      <c r="P57" s="726"/>
      <c r="T57" s="726"/>
      <c r="X57" s="726"/>
      <c r="AB57" s="726"/>
      <c r="AF57" s="726"/>
      <c r="AG57" s="726"/>
      <c r="AK57" s="726"/>
    </row>
    <row r="58" spans="4:37" x14ac:dyDescent="0.3">
      <c r="D58" s="726"/>
      <c r="H58" s="726"/>
      <c r="L58" s="726"/>
      <c r="P58" s="726"/>
      <c r="T58" s="726"/>
      <c r="X58" s="726"/>
      <c r="AB58" s="726"/>
      <c r="AF58" s="726"/>
      <c r="AG58" s="726"/>
      <c r="AK58" s="726"/>
    </row>
    <row r="59" spans="4:37" x14ac:dyDescent="0.3">
      <c r="D59" s="726"/>
      <c r="H59" s="726"/>
      <c r="L59" s="726"/>
      <c r="P59" s="726"/>
      <c r="T59" s="726"/>
      <c r="X59" s="726"/>
      <c r="AB59" s="726"/>
      <c r="AF59" s="726"/>
      <c r="AG59" s="726"/>
      <c r="AK59" s="726"/>
    </row>
    <row r="60" spans="4:37" x14ac:dyDescent="0.3">
      <c r="D60" s="726"/>
      <c r="H60" s="726"/>
      <c r="L60" s="726"/>
      <c r="P60" s="726"/>
      <c r="T60" s="726"/>
      <c r="X60" s="726"/>
      <c r="AB60" s="726"/>
      <c r="AF60" s="726"/>
      <c r="AG60" s="726"/>
      <c r="AK60" s="726"/>
    </row>
    <row r="61" spans="4:37" x14ac:dyDescent="0.3">
      <c r="D61" s="726"/>
      <c r="H61" s="726"/>
      <c r="L61" s="726"/>
      <c r="P61" s="726"/>
      <c r="T61" s="726"/>
      <c r="X61" s="726"/>
      <c r="AB61" s="726"/>
      <c r="AF61" s="726"/>
      <c r="AG61" s="726"/>
      <c r="AK61" s="726"/>
    </row>
    <row r="62" spans="4:37" x14ac:dyDescent="0.3">
      <c r="D62" s="726"/>
      <c r="H62" s="726"/>
      <c r="L62" s="726"/>
      <c r="P62" s="726"/>
      <c r="T62" s="726"/>
      <c r="X62" s="726"/>
      <c r="AB62" s="726"/>
      <c r="AF62" s="726"/>
      <c r="AG62" s="726"/>
      <c r="AK62" s="726"/>
    </row>
    <row r="63" spans="4:37" x14ac:dyDescent="0.3">
      <c r="D63" s="726"/>
      <c r="H63" s="726"/>
      <c r="L63" s="726"/>
      <c r="P63" s="726"/>
      <c r="T63" s="726"/>
      <c r="X63" s="726"/>
      <c r="AB63" s="726"/>
      <c r="AF63" s="726"/>
      <c r="AG63" s="726"/>
      <c r="AK63" s="726"/>
    </row>
    <row r="64" spans="4:37" x14ac:dyDescent="0.3">
      <c r="D64" s="726"/>
      <c r="H64" s="726"/>
      <c r="L64" s="726"/>
      <c r="P64" s="726"/>
      <c r="T64" s="726"/>
      <c r="X64" s="726"/>
      <c r="AB64" s="726"/>
      <c r="AF64" s="726"/>
      <c r="AG64" s="726"/>
      <c r="AK64" s="726"/>
    </row>
    <row r="65" spans="4:37" x14ac:dyDescent="0.3">
      <c r="D65" s="726"/>
      <c r="H65" s="726"/>
      <c r="L65" s="726"/>
      <c r="P65" s="726"/>
      <c r="T65" s="726"/>
      <c r="X65" s="726"/>
      <c r="AB65" s="726"/>
      <c r="AF65" s="726"/>
      <c r="AG65" s="726"/>
      <c r="AK65" s="726"/>
    </row>
    <row r="66" spans="4:37" x14ac:dyDescent="0.3">
      <c r="D66" s="726"/>
      <c r="H66" s="726"/>
      <c r="L66" s="726"/>
      <c r="P66" s="726"/>
      <c r="T66" s="726"/>
      <c r="X66" s="726"/>
      <c r="AB66" s="726"/>
      <c r="AF66" s="726"/>
      <c r="AG66" s="726"/>
      <c r="AK66" s="726"/>
    </row>
    <row r="67" spans="4:37" x14ac:dyDescent="0.3">
      <c r="D67" s="726"/>
      <c r="H67" s="726"/>
      <c r="L67" s="726"/>
      <c r="P67" s="726"/>
      <c r="T67" s="726"/>
      <c r="X67" s="726"/>
      <c r="AB67" s="726"/>
      <c r="AF67" s="726"/>
      <c r="AG67" s="726"/>
      <c r="AK67" s="726"/>
    </row>
    <row r="68" spans="4:37" x14ac:dyDescent="0.3">
      <c r="D68" s="726"/>
      <c r="H68" s="726"/>
      <c r="L68" s="726"/>
      <c r="P68" s="726"/>
      <c r="T68" s="726"/>
      <c r="X68" s="726"/>
      <c r="AB68" s="726"/>
      <c r="AF68" s="726"/>
      <c r="AG68" s="726"/>
      <c r="AK68" s="726"/>
    </row>
    <row r="69" spans="4:37" x14ac:dyDescent="0.3">
      <c r="D69" s="726"/>
      <c r="H69" s="726"/>
      <c r="L69" s="726"/>
      <c r="P69" s="726"/>
      <c r="T69" s="726"/>
      <c r="X69" s="726"/>
      <c r="AB69" s="726"/>
      <c r="AF69" s="726"/>
      <c r="AG69" s="726"/>
      <c r="AK69" s="726"/>
    </row>
    <row r="70" spans="4:37" x14ac:dyDescent="0.3">
      <c r="D70" s="726"/>
      <c r="H70" s="726"/>
      <c r="L70" s="726"/>
      <c r="P70" s="726"/>
      <c r="T70" s="726"/>
      <c r="X70" s="726"/>
      <c r="AB70" s="726"/>
      <c r="AF70" s="726"/>
      <c r="AG70" s="726"/>
      <c r="AK70" s="726"/>
    </row>
    <row r="71" spans="4:37" x14ac:dyDescent="0.3">
      <c r="D71" s="726"/>
      <c r="H71" s="726"/>
      <c r="L71" s="726"/>
      <c r="P71" s="726"/>
      <c r="T71" s="726"/>
      <c r="X71" s="726"/>
      <c r="AB71" s="726"/>
      <c r="AF71" s="726"/>
      <c r="AG71" s="726"/>
      <c r="AK71" s="726"/>
    </row>
    <row r="72" spans="4:37" x14ac:dyDescent="0.3">
      <c r="D72" s="726"/>
      <c r="H72" s="726"/>
      <c r="L72" s="726"/>
      <c r="P72" s="726"/>
      <c r="T72" s="726"/>
      <c r="X72" s="726"/>
      <c r="AB72" s="726"/>
      <c r="AF72" s="726"/>
      <c r="AG72" s="726"/>
      <c r="AK72" s="726"/>
    </row>
    <row r="73" spans="4:37" x14ac:dyDescent="0.3">
      <c r="D73" s="726"/>
      <c r="H73" s="726"/>
      <c r="L73" s="726"/>
      <c r="P73" s="726"/>
      <c r="T73" s="726"/>
      <c r="X73" s="726"/>
      <c r="AB73" s="726"/>
      <c r="AF73" s="726"/>
      <c r="AG73" s="726"/>
      <c r="AK73" s="726"/>
    </row>
    <row r="74" spans="4:37" x14ac:dyDescent="0.3">
      <c r="D74" s="726"/>
      <c r="H74" s="726"/>
      <c r="L74" s="726"/>
      <c r="P74" s="726"/>
      <c r="T74" s="726"/>
      <c r="X74" s="726"/>
      <c r="AB74" s="726"/>
      <c r="AF74" s="726"/>
      <c r="AG74" s="726"/>
      <c r="AK74" s="726"/>
    </row>
    <row r="75" spans="4:37" x14ac:dyDescent="0.3">
      <c r="D75" s="726"/>
      <c r="H75" s="726"/>
      <c r="L75" s="726"/>
      <c r="P75" s="726"/>
      <c r="T75" s="726"/>
      <c r="X75" s="726"/>
      <c r="AB75" s="726"/>
      <c r="AF75" s="726"/>
      <c r="AG75" s="726"/>
      <c r="AK75" s="726"/>
    </row>
    <row r="76" spans="4:37" x14ac:dyDescent="0.3">
      <c r="D76" s="726"/>
      <c r="H76" s="726"/>
      <c r="L76" s="726"/>
      <c r="P76" s="726"/>
      <c r="T76" s="726"/>
      <c r="X76" s="726"/>
      <c r="AB76" s="726"/>
      <c r="AF76" s="726"/>
      <c r="AG76" s="726"/>
      <c r="AK76" s="726"/>
    </row>
    <row r="77" spans="4:37" x14ac:dyDescent="0.3">
      <c r="D77" s="726"/>
      <c r="H77" s="726"/>
      <c r="L77" s="726"/>
      <c r="P77" s="726"/>
      <c r="T77" s="726"/>
      <c r="X77" s="726"/>
      <c r="AB77" s="726"/>
      <c r="AF77" s="726"/>
      <c r="AG77" s="726"/>
      <c r="AK77" s="726"/>
    </row>
    <row r="78" spans="4:37" x14ac:dyDescent="0.3">
      <c r="D78" s="726"/>
      <c r="H78" s="726"/>
      <c r="L78" s="726"/>
      <c r="P78" s="726"/>
      <c r="T78" s="726"/>
      <c r="X78" s="726"/>
      <c r="AB78" s="726"/>
      <c r="AF78" s="726"/>
      <c r="AG78" s="726"/>
      <c r="AK78" s="726"/>
    </row>
    <row r="79" spans="4:37" x14ac:dyDescent="0.3">
      <c r="D79" s="726"/>
      <c r="H79" s="726"/>
      <c r="L79" s="726"/>
      <c r="P79" s="726"/>
      <c r="T79" s="726"/>
      <c r="X79" s="726"/>
      <c r="AB79" s="726"/>
      <c r="AF79" s="726"/>
      <c r="AG79" s="726"/>
      <c r="AK79" s="726"/>
    </row>
    <row r="80" spans="4:37" x14ac:dyDescent="0.3">
      <c r="D80" s="726"/>
      <c r="H80" s="726"/>
      <c r="L80" s="726"/>
      <c r="P80" s="726"/>
      <c r="T80" s="726"/>
      <c r="X80" s="726"/>
      <c r="AB80" s="726"/>
      <c r="AF80" s="726"/>
      <c r="AG80" s="726"/>
      <c r="AK80" s="726"/>
    </row>
    <row r="81" spans="4:37" x14ac:dyDescent="0.3">
      <c r="D81" s="726"/>
      <c r="H81" s="726"/>
      <c r="L81" s="726"/>
      <c r="P81" s="726"/>
      <c r="T81" s="726"/>
      <c r="X81" s="726"/>
      <c r="AB81" s="726"/>
      <c r="AF81" s="726"/>
      <c r="AG81" s="726"/>
      <c r="AK81" s="726"/>
    </row>
    <row r="82" spans="4:37" x14ac:dyDescent="0.3">
      <c r="D82" s="726"/>
      <c r="H82" s="726"/>
      <c r="L82" s="726"/>
      <c r="P82" s="726"/>
      <c r="T82" s="726"/>
      <c r="X82" s="726"/>
      <c r="AB82" s="726"/>
      <c r="AF82" s="726"/>
      <c r="AG82" s="726"/>
      <c r="AK82" s="726"/>
    </row>
    <row r="83" spans="4:37" x14ac:dyDescent="0.3">
      <c r="D83" s="726"/>
      <c r="H83" s="726"/>
      <c r="L83" s="726"/>
      <c r="P83" s="726"/>
      <c r="T83" s="726"/>
      <c r="X83" s="726"/>
      <c r="AB83" s="726"/>
      <c r="AF83" s="726"/>
      <c r="AG83" s="726"/>
      <c r="AK83" s="726"/>
    </row>
    <row r="84" spans="4:37" x14ac:dyDescent="0.3">
      <c r="D84" s="726"/>
      <c r="H84" s="726"/>
      <c r="L84" s="726"/>
      <c r="P84" s="726"/>
      <c r="T84" s="726"/>
      <c r="X84" s="726"/>
      <c r="AB84" s="726"/>
      <c r="AF84" s="726"/>
      <c r="AG84" s="726"/>
      <c r="AK84" s="726"/>
    </row>
    <row r="85" spans="4:37" x14ac:dyDescent="0.3">
      <c r="D85" s="726"/>
      <c r="H85" s="726"/>
      <c r="L85" s="726"/>
      <c r="P85" s="726"/>
      <c r="T85" s="726"/>
      <c r="X85" s="726"/>
      <c r="AB85" s="726"/>
      <c r="AF85" s="726"/>
      <c r="AG85" s="726"/>
      <c r="AK85" s="726"/>
    </row>
    <row r="86" spans="4:37" x14ac:dyDescent="0.3">
      <c r="D86" s="726"/>
      <c r="H86" s="726"/>
      <c r="L86" s="726"/>
      <c r="P86" s="726"/>
      <c r="T86" s="726"/>
      <c r="X86" s="726"/>
      <c r="AB86" s="726"/>
      <c r="AF86" s="726"/>
      <c r="AG86" s="726"/>
      <c r="AK86" s="726"/>
    </row>
    <row r="87" spans="4:37" x14ac:dyDescent="0.3">
      <c r="D87" s="726"/>
      <c r="H87" s="726"/>
      <c r="L87" s="726"/>
      <c r="P87" s="726"/>
      <c r="T87" s="726"/>
      <c r="X87" s="726"/>
      <c r="AB87" s="726"/>
      <c r="AF87" s="726"/>
      <c r="AG87" s="726"/>
      <c r="AK87" s="726"/>
    </row>
    <row r="88" spans="4:37" x14ac:dyDescent="0.3">
      <c r="D88" s="726"/>
      <c r="H88" s="726"/>
      <c r="L88" s="726"/>
      <c r="P88" s="726"/>
      <c r="T88" s="726"/>
      <c r="X88" s="726"/>
      <c r="AB88" s="726"/>
      <c r="AF88" s="726"/>
      <c r="AG88" s="726"/>
      <c r="AK88" s="726"/>
    </row>
    <row r="89" spans="4:37" x14ac:dyDescent="0.3">
      <c r="D89" s="726"/>
      <c r="H89" s="726"/>
      <c r="L89" s="726"/>
      <c r="P89" s="726"/>
      <c r="T89" s="726"/>
      <c r="X89" s="726"/>
      <c r="AB89" s="726"/>
      <c r="AF89" s="726"/>
      <c r="AG89" s="726"/>
      <c r="AK89" s="726"/>
    </row>
    <row r="90" spans="4:37" x14ac:dyDescent="0.3">
      <c r="D90" s="726"/>
      <c r="H90" s="726"/>
      <c r="L90" s="726"/>
      <c r="P90" s="726"/>
      <c r="T90" s="726"/>
      <c r="X90" s="726"/>
      <c r="AB90" s="726"/>
      <c r="AF90" s="726"/>
      <c r="AG90" s="726"/>
      <c r="AK90" s="726"/>
    </row>
    <row r="91" spans="4:37" x14ac:dyDescent="0.3">
      <c r="D91" s="726"/>
      <c r="H91" s="726"/>
      <c r="L91" s="726"/>
      <c r="P91" s="726"/>
      <c r="T91" s="726"/>
      <c r="X91" s="726"/>
      <c r="AB91" s="726"/>
      <c r="AF91" s="726"/>
      <c r="AG91" s="726"/>
      <c r="AK91" s="726"/>
    </row>
    <row r="92" spans="4:37" x14ac:dyDescent="0.3">
      <c r="D92" s="726"/>
      <c r="H92" s="726"/>
      <c r="L92" s="726"/>
      <c r="P92" s="726"/>
      <c r="T92" s="726"/>
      <c r="X92" s="726"/>
      <c r="AB92" s="726"/>
      <c r="AF92" s="726"/>
      <c r="AG92" s="726"/>
      <c r="AK92" s="726"/>
    </row>
    <row r="93" spans="4:37" x14ac:dyDescent="0.3">
      <c r="D93" s="726"/>
      <c r="H93" s="726"/>
      <c r="L93" s="726"/>
      <c r="P93" s="726"/>
      <c r="T93" s="726"/>
      <c r="X93" s="726"/>
      <c r="AB93" s="726"/>
      <c r="AF93" s="726"/>
      <c r="AG93" s="726"/>
      <c r="AK93" s="726"/>
    </row>
    <row r="94" spans="4:37" x14ac:dyDescent="0.3">
      <c r="D94" s="726"/>
      <c r="H94" s="726"/>
      <c r="L94" s="726"/>
      <c r="P94" s="726"/>
      <c r="T94" s="726"/>
      <c r="X94" s="726"/>
      <c r="AB94" s="726"/>
      <c r="AF94" s="726"/>
      <c r="AG94" s="726"/>
      <c r="AK94" s="726"/>
    </row>
    <row r="95" spans="4:37" x14ac:dyDescent="0.3">
      <c r="D95" s="726"/>
      <c r="H95" s="726"/>
      <c r="L95" s="726"/>
      <c r="P95" s="726"/>
      <c r="T95" s="726"/>
      <c r="X95" s="726"/>
      <c r="AB95" s="726"/>
      <c r="AF95" s="726"/>
      <c r="AG95" s="726"/>
      <c r="AK95" s="726"/>
    </row>
    <row r="96" spans="4:37" x14ac:dyDescent="0.3">
      <c r="D96" s="726"/>
      <c r="H96" s="726"/>
      <c r="L96" s="726"/>
      <c r="P96" s="726"/>
      <c r="T96" s="726"/>
      <c r="X96" s="726"/>
      <c r="AB96" s="726"/>
      <c r="AF96" s="726"/>
      <c r="AG96" s="726"/>
      <c r="AK96" s="726"/>
    </row>
    <row r="97" spans="4:37" x14ac:dyDescent="0.3">
      <c r="D97" s="726"/>
      <c r="H97" s="726"/>
      <c r="L97" s="726"/>
      <c r="P97" s="726"/>
      <c r="T97" s="726"/>
      <c r="X97" s="726"/>
      <c r="AB97" s="726"/>
      <c r="AF97" s="726"/>
      <c r="AG97" s="726"/>
      <c r="AK97" s="726"/>
    </row>
    <row r="98" spans="4:37" x14ac:dyDescent="0.3">
      <c r="D98" s="726"/>
      <c r="H98" s="726"/>
      <c r="L98" s="726"/>
      <c r="P98" s="726"/>
      <c r="T98" s="726"/>
      <c r="X98" s="726"/>
      <c r="AB98" s="726"/>
      <c r="AF98" s="726"/>
      <c r="AG98" s="726"/>
      <c r="AK98" s="726"/>
    </row>
    <row r="99" spans="4:37" x14ac:dyDescent="0.3">
      <c r="D99" s="726"/>
      <c r="H99" s="726"/>
      <c r="L99" s="726"/>
      <c r="P99" s="726"/>
      <c r="T99" s="726"/>
      <c r="X99" s="726"/>
      <c r="AB99" s="726"/>
      <c r="AF99" s="726"/>
      <c r="AG99" s="726"/>
      <c r="AK99" s="726"/>
    </row>
    <row r="100" spans="4:37" x14ac:dyDescent="0.3">
      <c r="D100" s="726"/>
      <c r="H100" s="726"/>
      <c r="L100" s="726"/>
      <c r="P100" s="726"/>
      <c r="T100" s="726"/>
      <c r="X100" s="726"/>
      <c r="AB100" s="726"/>
      <c r="AF100" s="726"/>
      <c r="AG100" s="726"/>
      <c r="AK100" s="726"/>
    </row>
    <row r="101" spans="4:37" x14ac:dyDescent="0.3">
      <c r="D101" s="726"/>
      <c r="H101" s="726"/>
      <c r="L101" s="726"/>
      <c r="P101" s="726"/>
      <c r="T101" s="726"/>
      <c r="X101" s="726"/>
      <c r="AB101" s="726"/>
      <c r="AF101" s="726"/>
      <c r="AG101" s="726"/>
      <c r="AK101" s="726"/>
    </row>
    <row r="102" spans="4:37" x14ac:dyDescent="0.3">
      <c r="D102" s="726"/>
      <c r="H102" s="726"/>
      <c r="L102" s="726"/>
      <c r="P102" s="726"/>
      <c r="T102" s="726"/>
      <c r="X102" s="726"/>
      <c r="AB102" s="726"/>
      <c r="AF102" s="726"/>
      <c r="AG102" s="726"/>
      <c r="AK102" s="726"/>
    </row>
    <row r="103" spans="4:37" x14ac:dyDescent="0.3">
      <c r="D103" s="726"/>
      <c r="H103" s="726"/>
      <c r="L103" s="726"/>
      <c r="P103" s="726"/>
      <c r="T103" s="726"/>
      <c r="X103" s="726"/>
      <c r="AB103" s="726"/>
      <c r="AF103" s="726"/>
      <c r="AG103" s="726"/>
      <c r="AK103" s="726"/>
    </row>
    <row r="104" spans="4:37" x14ac:dyDescent="0.3">
      <c r="D104" s="726"/>
      <c r="H104" s="726"/>
      <c r="L104" s="726"/>
      <c r="P104" s="726"/>
      <c r="T104" s="726"/>
      <c r="X104" s="726"/>
      <c r="AB104" s="726"/>
      <c r="AF104" s="726"/>
      <c r="AG104" s="726"/>
      <c r="AK104" s="726"/>
    </row>
    <row r="105" spans="4:37" x14ac:dyDescent="0.3">
      <c r="D105" s="726"/>
      <c r="H105" s="726"/>
      <c r="L105" s="726"/>
      <c r="P105" s="726"/>
      <c r="T105" s="726"/>
      <c r="X105" s="726"/>
      <c r="AB105" s="726"/>
      <c r="AF105" s="726"/>
      <c r="AG105" s="726"/>
      <c r="AK105" s="726"/>
    </row>
    <row r="106" spans="4:37" x14ac:dyDescent="0.3">
      <c r="D106" s="726"/>
      <c r="H106" s="726"/>
      <c r="L106" s="726"/>
      <c r="P106" s="726"/>
      <c r="T106" s="726"/>
      <c r="X106" s="726"/>
      <c r="AB106" s="726"/>
      <c r="AF106" s="726"/>
      <c r="AG106" s="726"/>
      <c r="AK106" s="726"/>
    </row>
    <row r="107" spans="4:37" x14ac:dyDescent="0.3">
      <c r="D107" s="726"/>
      <c r="H107" s="726"/>
      <c r="L107" s="726"/>
      <c r="P107" s="726"/>
      <c r="T107" s="726"/>
      <c r="X107" s="726"/>
      <c r="AB107" s="726"/>
      <c r="AF107" s="726"/>
      <c r="AG107" s="726"/>
      <c r="AK107" s="726"/>
    </row>
    <row r="108" spans="4:37" x14ac:dyDescent="0.3">
      <c r="D108" s="726"/>
      <c r="H108" s="726"/>
      <c r="L108" s="726"/>
      <c r="P108" s="726"/>
      <c r="T108" s="726"/>
      <c r="X108" s="726"/>
      <c r="AB108" s="726"/>
      <c r="AF108" s="726"/>
      <c r="AG108" s="726"/>
      <c r="AK108" s="726"/>
    </row>
    <row r="109" spans="4:37" x14ac:dyDescent="0.3">
      <c r="D109" s="726"/>
      <c r="H109" s="726"/>
      <c r="L109" s="726"/>
      <c r="P109" s="726"/>
      <c r="T109" s="726"/>
      <c r="X109" s="726"/>
      <c r="AB109" s="726"/>
      <c r="AF109" s="726"/>
      <c r="AG109" s="726"/>
      <c r="AK109" s="726"/>
    </row>
    <row r="110" spans="4:37" x14ac:dyDescent="0.3">
      <c r="D110" s="726"/>
      <c r="H110" s="726"/>
      <c r="L110" s="726"/>
      <c r="P110" s="726"/>
      <c r="T110" s="726"/>
      <c r="X110" s="726"/>
      <c r="AB110" s="726"/>
      <c r="AF110" s="726"/>
      <c r="AG110" s="726"/>
      <c r="AK110" s="726"/>
    </row>
    <row r="111" spans="4:37" x14ac:dyDescent="0.3">
      <c r="D111" s="726"/>
      <c r="H111" s="726"/>
      <c r="L111" s="726"/>
      <c r="P111" s="726"/>
      <c r="T111" s="726"/>
      <c r="X111" s="726"/>
      <c r="AB111" s="726"/>
      <c r="AF111" s="726"/>
      <c r="AG111" s="726"/>
      <c r="AK111" s="726"/>
    </row>
    <row r="112" spans="4:37" x14ac:dyDescent="0.3">
      <c r="D112" s="726"/>
      <c r="H112" s="726"/>
      <c r="L112" s="726"/>
      <c r="P112" s="726"/>
      <c r="T112" s="726"/>
      <c r="X112" s="726"/>
      <c r="AB112" s="726"/>
      <c r="AF112" s="726"/>
      <c r="AG112" s="726"/>
      <c r="AK112" s="726"/>
    </row>
    <row r="113" spans="4:37" x14ac:dyDescent="0.3">
      <c r="D113" s="726"/>
      <c r="H113" s="726"/>
      <c r="L113" s="726"/>
      <c r="P113" s="726"/>
      <c r="T113" s="726"/>
      <c r="X113" s="726"/>
      <c r="AB113" s="726"/>
      <c r="AF113" s="726"/>
      <c r="AG113" s="726"/>
      <c r="AK113" s="726"/>
    </row>
    <row r="114" spans="4:37" x14ac:dyDescent="0.3">
      <c r="D114" s="726"/>
      <c r="H114" s="726"/>
      <c r="L114" s="726"/>
      <c r="P114" s="726"/>
      <c r="T114" s="726"/>
      <c r="X114" s="726"/>
      <c r="AB114" s="726"/>
      <c r="AF114" s="726"/>
      <c r="AG114" s="726"/>
      <c r="AK114" s="726"/>
    </row>
    <row r="115" spans="4:37" x14ac:dyDescent="0.3">
      <c r="D115" s="726"/>
      <c r="H115" s="726"/>
      <c r="L115" s="726"/>
      <c r="P115" s="726"/>
      <c r="T115" s="726"/>
      <c r="X115" s="726"/>
      <c r="AB115" s="726"/>
      <c r="AF115" s="726"/>
      <c r="AG115" s="726"/>
      <c r="AK115" s="726"/>
    </row>
    <row r="116" spans="4:37" x14ac:dyDescent="0.3">
      <c r="D116" s="726"/>
      <c r="H116" s="726"/>
      <c r="L116" s="726"/>
      <c r="P116" s="726"/>
      <c r="T116" s="726"/>
      <c r="X116" s="726"/>
      <c r="AB116" s="726"/>
      <c r="AF116" s="726"/>
      <c r="AG116" s="726"/>
      <c r="AK116" s="726"/>
    </row>
    <row r="117" spans="4:37" x14ac:dyDescent="0.3">
      <c r="D117" s="726"/>
      <c r="H117" s="726"/>
      <c r="L117" s="726"/>
      <c r="P117" s="726"/>
      <c r="T117" s="726"/>
      <c r="X117" s="726"/>
      <c r="AB117" s="726"/>
      <c r="AF117" s="726"/>
      <c r="AG117" s="726"/>
      <c r="AK117" s="726"/>
    </row>
    <row r="118" spans="4:37" x14ac:dyDescent="0.3">
      <c r="D118" s="726"/>
      <c r="H118" s="726"/>
      <c r="L118" s="726"/>
      <c r="P118" s="726"/>
      <c r="T118" s="726"/>
      <c r="X118" s="726"/>
      <c r="AB118" s="726"/>
      <c r="AF118" s="726"/>
      <c r="AG118" s="726"/>
      <c r="AK118" s="726"/>
    </row>
    <row r="119" spans="4:37" x14ac:dyDescent="0.3">
      <c r="D119" s="726"/>
      <c r="H119" s="726"/>
      <c r="L119" s="726"/>
      <c r="P119" s="726"/>
      <c r="T119" s="726"/>
      <c r="X119" s="726"/>
      <c r="AB119" s="726"/>
      <c r="AF119" s="726"/>
      <c r="AG119" s="726"/>
      <c r="AK119" s="726"/>
    </row>
    <row r="120" spans="4:37" x14ac:dyDescent="0.3">
      <c r="D120" s="726"/>
      <c r="H120" s="726"/>
      <c r="L120" s="726"/>
      <c r="P120" s="726"/>
      <c r="T120" s="726"/>
      <c r="X120" s="726"/>
      <c r="AB120" s="726"/>
      <c r="AF120" s="726"/>
      <c r="AG120" s="726"/>
      <c r="AK120" s="726"/>
    </row>
    <row r="121" spans="4:37" x14ac:dyDescent="0.3">
      <c r="D121" s="726"/>
      <c r="H121" s="726"/>
      <c r="L121" s="726"/>
      <c r="P121" s="726"/>
      <c r="T121" s="726"/>
      <c r="X121" s="726"/>
      <c r="AB121" s="726"/>
      <c r="AF121" s="726"/>
      <c r="AG121" s="726"/>
      <c r="AK121" s="726"/>
    </row>
    <row r="122" spans="4:37" x14ac:dyDescent="0.3">
      <c r="D122" s="726"/>
      <c r="H122" s="726"/>
      <c r="L122" s="726"/>
      <c r="P122" s="726"/>
      <c r="T122" s="726"/>
      <c r="X122" s="726"/>
      <c r="AB122" s="726"/>
      <c r="AF122" s="726"/>
      <c r="AG122" s="726"/>
      <c r="AK122" s="726"/>
    </row>
    <row r="123" spans="4:37" x14ac:dyDescent="0.3">
      <c r="D123" s="726"/>
      <c r="H123" s="726"/>
      <c r="L123" s="726"/>
      <c r="P123" s="726"/>
      <c r="T123" s="726"/>
      <c r="X123" s="726"/>
      <c r="AB123" s="726"/>
      <c r="AF123" s="726"/>
      <c r="AG123" s="726"/>
      <c r="AK123" s="726"/>
    </row>
    <row r="124" spans="4:37" x14ac:dyDescent="0.3">
      <c r="D124" s="726"/>
      <c r="H124" s="726"/>
      <c r="L124" s="726"/>
      <c r="P124" s="726"/>
      <c r="T124" s="726"/>
      <c r="X124" s="726"/>
      <c r="AB124" s="726"/>
      <c r="AF124" s="726"/>
      <c r="AG124" s="726"/>
      <c r="AK124" s="726"/>
    </row>
    <row r="125" spans="4:37" x14ac:dyDescent="0.3">
      <c r="D125" s="726" t="s">
        <v>1511</v>
      </c>
      <c r="E125" s="698">
        <v>30.35</v>
      </c>
      <c r="F125" s="698">
        <v>25</v>
      </c>
      <c r="H125" s="726"/>
      <c r="L125" s="726"/>
      <c r="P125" s="726"/>
      <c r="T125" s="726"/>
      <c r="X125" s="726"/>
      <c r="AB125" s="726"/>
      <c r="AF125" s="726"/>
      <c r="AG125" s="726"/>
      <c r="AK125" s="726"/>
    </row>
    <row r="126" spans="4:37" x14ac:dyDescent="0.3">
      <c r="D126" s="726"/>
      <c r="H126" s="726"/>
      <c r="L126" s="726"/>
      <c r="P126" s="726"/>
      <c r="T126" s="726"/>
      <c r="X126" s="726"/>
      <c r="AB126" s="726"/>
      <c r="AF126" s="726"/>
      <c r="AG126" s="726"/>
      <c r="AK126" s="726"/>
    </row>
    <row r="127" spans="4:37" x14ac:dyDescent="0.3">
      <c r="D127" s="726"/>
      <c r="H127" s="726"/>
      <c r="L127" s="726"/>
      <c r="P127" s="726"/>
      <c r="T127" s="726"/>
      <c r="X127" s="726"/>
      <c r="AB127" s="726"/>
      <c r="AF127" s="726"/>
      <c r="AG127" s="726"/>
      <c r="AK127" s="726"/>
    </row>
    <row r="128" spans="4:37" x14ac:dyDescent="0.3">
      <c r="D128" s="726"/>
      <c r="H128" s="726"/>
      <c r="L128" s="726"/>
      <c r="P128" s="726"/>
      <c r="T128" s="726"/>
      <c r="X128" s="726"/>
      <c r="AB128" s="726"/>
      <c r="AF128" s="726"/>
      <c r="AG128" s="726"/>
      <c r="AK128" s="726"/>
    </row>
    <row r="129" spans="4:37" x14ac:dyDescent="0.3">
      <c r="D129" s="726"/>
      <c r="H129" s="726"/>
      <c r="L129" s="726"/>
      <c r="P129" s="726"/>
      <c r="T129" s="726"/>
      <c r="X129" s="726"/>
      <c r="AB129" s="726"/>
      <c r="AF129" s="726"/>
      <c r="AG129" s="726"/>
      <c r="AK129" s="726"/>
    </row>
    <row r="130" spans="4:37" x14ac:dyDescent="0.3">
      <c r="D130" s="726"/>
      <c r="H130" s="726"/>
      <c r="L130" s="726"/>
      <c r="P130" s="726"/>
      <c r="T130" s="726"/>
      <c r="X130" s="726"/>
      <c r="AB130" s="726"/>
      <c r="AF130" s="726"/>
      <c r="AG130" s="726"/>
      <c r="AK130" s="726"/>
    </row>
    <row r="131" spans="4:37" x14ac:dyDescent="0.3">
      <c r="D131" s="726"/>
      <c r="H131" s="726"/>
      <c r="L131" s="726"/>
      <c r="P131" s="726"/>
      <c r="T131" s="726"/>
      <c r="X131" s="726"/>
      <c r="AB131" s="726"/>
      <c r="AF131" s="726"/>
      <c r="AG131" s="726"/>
      <c r="AK131" s="726"/>
    </row>
    <row r="132" spans="4:37" x14ac:dyDescent="0.3">
      <c r="D132" s="726"/>
      <c r="H132" s="726"/>
      <c r="L132" s="726"/>
      <c r="P132" s="726"/>
      <c r="T132" s="726"/>
      <c r="X132" s="726"/>
      <c r="AB132" s="726"/>
      <c r="AF132" s="726"/>
      <c r="AG132" s="726"/>
      <c r="AK132" s="726"/>
    </row>
    <row r="133" spans="4:37" x14ac:dyDescent="0.3">
      <c r="D133" s="726"/>
      <c r="H133" s="726"/>
      <c r="L133" s="726"/>
      <c r="P133" s="726"/>
      <c r="T133" s="726"/>
      <c r="X133" s="726"/>
      <c r="AB133" s="726"/>
      <c r="AF133" s="726"/>
      <c r="AG133" s="726"/>
      <c r="AK133" s="726"/>
    </row>
    <row r="134" spans="4:37" x14ac:dyDescent="0.3">
      <c r="D134" s="726"/>
      <c r="H134" s="726"/>
      <c r="L134" s="726"/>
      <c r="P134" s="726"/>
      <c r="T134" s="726"/>
      <c r="X134" s="726"/>
      <c r="AB134" s="726"/>
      <c r="AF134" s="726"/>
      <c r="AG134" s="726"/>
      <c r="AK134" s="726"/>
    </row>
    <row r="135" spans="4:37" x14ac:dyDescent="0.3">
      <c r="D135" s="726"/>
      <c r="H135" s="726"/>
      <c r="L135" s="726"/>
      <c r="P135" s="726"/>
      <c r="T135" s="726"/>
      <c r="X135" s="726"/>
      <c r="AB135" s="726"/>
      <c r="AF135" s="726"/>
      <c r="AG135" s="726"/>
      <c r="AK135" s="726"/>
    </row>
    <row r="136" spans="4:37" x14ac:dyDescent="0.3">
      <c r="D136" s="726"/>
      <c r="H136" s="726"/>
      <c r="L136" s="726"/>
      <c r="P136" s="726"/>
      <c r="T136" s="726"/>
      <c r="X136" s="726"/>
      <c r="AB136" s="726"/>
      <c r="AF136" s="726"/>
      <c r="AG136" s="726"/>
      <c r="AK136" s="726"/>
    </row>
    <row r="137" spans="4:37" x14ac:dyDescent="0.3">
      <c r="D137" s="726"/>
      <c r="H137" s="726"/>
      <c r="L137" s="726"/>
      <c r="P137" s="726"/>
      <c r="T137" s="726"/>
      <c r="X137" s="726"/>
      <c r="AB137" s="726"/>
      <c r="AF137" s="726"/>
      <c r="AG137" s="726"/>
      <c r="AK137" s="726"/>
    </row>
    <row r="138" spans="4:37" x14ac:dyDescent="0.3">
      <c r="D138" s="726"/>
      <c r="H138" s="726"/>
      <c r="L138" s="726"/>
      <c r="P138" s="726"/>
      <c r="T138" s="726"/>
      <c r="X138" s="726"/>
      <c r="AB138" s="726"/>
      <c r="AF138" s="726"/>
      <c r="AG138" s="726"/>
      <c r="AK138" s="726"/>
    </row>
    <row r="139" spans="4:37" x14ac:dyDescent="0.3">
      <c r="D139" s="726"/>
      <c r="H139" s="726"/>
      <c r="L139" s="726"/>
      <c r="P139" s="726"/>
      <c r="T139" s="726"/>
      <c r="X139" s="726"/>
      <c r="AB139" s="726"/>
      <c r="AF139" s="726"/>
      <c r="AG139" s="726"/>
      <c r="AK139" s="726"/>
    </row>
    <row r="140" spans="4:37" x14ac:dyDescent="0.3">
      <c r="D140" s="726"/>
      <c r="H140" s="726"/>
      <c r="L140" s="726"/>
      <c r="P140" s="726"/>
      <c r="T140" s="726"/>
      <c r="X140" s="726"/>
      <c r="AB140" s="726"/>
      <c r="AF140" s="726"/>
      <c r="AG140" s="726"/>
      <c r="AK140" s="726"/>
    </row>
    <row r="141" spans="4:37" x14ac:dyDescent="0.3">
      <c r="D141" s="726"/>
      <c r="H141" s="726"/>
      <c r="L141" s="726"/>
      <c r="P141" s="726"/>
      <c r="T141" s="726"/>
      <c r="X141" s="726"/>
      <c r="AB141" s="726"/>
      <c r="AF141" s="726"/>
      <c r="AG141" s="726"/>
      <c r="AK141" s="726"/>
    </row>
    <row r="142" spans="4:37" x14ac:dyDescent="0.3">
      <c r="D142" s="726"/>
      <c r="H142" s="726"/>
      <c r="L142" s="726"/>
      <c r="P142" s="726"/>
      <c r="T142" s="726"/>
      <c r="X142" s="726"/>
      <c r="AB142" s="726"/>
      <c r="AF142" s="726"/>
      <c r="AG142" s="726"/>
      <c r="AK142" s="726"/>
    </row>
    <row r="143" spans="4:37" x14ac:dyDescent="0.3">
      <c r="D143" s="726"/>
      <c r="H143" s="726"/>
      <c r="L143" s="726"/>
      <c r="P143" s="726"/>
      <c r="T143" s="726"/>
      <c r="X143" s="726"/>
      <c r="AB143" s="726"/>
      <c r="AF143" s="726"/>
      <c r="AG143" s="726"/>
      <c r="AK143" s="726"/>
    </row>
    <row r="144" spans="4:37" x14ac:dyDescent="0.3">
      <c r="D144" s="726"/>
      <c r="H144" s="726"/>
      <c r="L144" s="726"/>
      <c r="P144" s="726"/>
      <c r="T144" s="726"/>
      <c r="X144" s="726"/>
      <c r="AB144" s="726"/>
      <c r="AF144" s="726"/>
      <c r="AG144" s="726"/>
      <c r="AK144" s="726"/>
    </row>
    <row r="145" spans="4:37" x14ac:dyDescent="0.3">
      <c r="D145" s="726"/>
      <c r="H145" s="726"/>
      <c r="L145" s="726"/>
      <c r="P145" s="726"/>
      <c r="T145" s="726"/>
      <c r="X145" s="726"/>
      <c r="AB145" s="726"/>
      <c r="AF145" s="726"/>
      <c r="AG145" s="726"/>
      <c r="AK145" s="726"/>
    </row>
    <row r="146" spans="4:37" x14ac:dyDescent="0.3">
      <c r="D146" s="726"/>
      <c r="H146" s="726"/>
      <c r="L146" s="726"/>
      <c r="P146" s="726"/>
      <c r="T146" s="726"/>
      <c r="X146" s="726"/>
      <c r="AB146" s="726"/>
      <c r="AF146" s="726"/>
      <c r="AG146" s="726"/>
      <c r="AK146" s="726"/>
    </row>
    <row r="147" spans="4:37" x14ac:dyDescent="0.3">
      <c r="D147" s="726"/>
      <c r="H147" s="726"/>
      <c r="L147" s="726"/>
      <c r="P147" s="726"/>
      <c r="T147" s="726"/>
      <c r="X147" s="726"/>
      <c r="AB147" s="726"/>
      <c r="AF147" s="726"/>
      <c r="AG147" s="726"/>
      <c r="AK147" s="726"/>
    </row>
    <row r="148" spans="4:37" x14ac:dyDescent="0.3">
      <c r="D148" s="726"/>
      <c r="H148" s="726"/>
      <c r="L148" s="726"/>
      <c r="P148" s="726"/>
      <c r="T148" s="726"/>
      <c r="X148" s="726"/>
      <c r="AB148" s="726"/>
      <c r="AF148" s="726"/>
      <c r="AG148" s="726"/>
      <c r="AK148" s="726"/>
    </row>
    <row r="149" spans="4:37" x14ac:dyDescent="0.3">
      <c r="D149" s="726"/>
      <c r="H149" s="726"/>
      <c r="L149" s="726"/>
      <c r="P149" s="726"/>
      <c r="T149" s="726"/>
      <c r="X149" s="726"/>
      <c r="AB149" s="726"/>
      <c r="AF149" s="726"/>
      <c r="AG149" s="726"/>
      <c r="AK149" s="726"/>
    </row>
    <row r="150" spans="4:37" x14ac:dyDescent="0.3">
      <c r="D150" s="726"/>
      <c r="H150" s="726"/>
      <c r="L150" s="726"/>
      <c r="P150" s="726"/>
      <c r="T150" s="726"/>
      <c r="X150" s="726"/>
      <c r="AB150" s="726"/>
      <c r="AF150" s="726"/>
      <c r="AG150" s="726"/>
      <c r="AK150" s="726"/>
    </row>
    <row r="151" spans="4:37" x14ac:dyDescent="0.3">
      <c r="D151" s="726"/>
      <c r="H151" s="726"/>
      <c r="L151" s="726"/>
      <c r="P151" s="726"/>
      <c r="T151" s="726"/>
      <c r="X151" s="726"/>
      <c r="AB151" s="726"/>
      <c r="AF151" s="726"/>
      <c r="AG151" s="726"/>
      <c r="AK151" s="726"/>
    </row>
    <row r="152" spans="4:37" x14ac:dyDescent="0.3">
      <c r="D152" s="726"/>
      <c r="H152" s="726"/>
      <c r="L152" s="726"/>
      <c r="P152" s="726"/>
      <c r="T152" s="726"/>
      <c r="X152" s="726"/>
      <c r="AB152" s="726"/>
      <c r="AF152" s="726"/>
      <c r="AG152" s="726"/>
      <c r="AK152" s="726"/>
    </row>
    <row r="153" spans="4:37" x14ac:dyDescent="0.3">
      <c r="D153" s="726"/>
      <c r="H153" s="726"/>
      <c r="L153" s="726"/>
      <c r="P153" s="726"/>
      <c r="T153" s="726"/>
      <c r="X153" s="726"/>
      <c r="AB153" s="726"/>
      <c r="AF153" s="726"/>
      <c r="AG153" s="726"/>
      <c r="AK153" s="726"/>
    </row>
    <row r="154" spans="4:37" x14ac:dyDescent="0.3">
      <c r="D154" s="726"/>
      <c r="H154" s="726"/>
      <c r="L154" s="726"/>
      <c r="P154" s="726"/>
      <c r="T154" s="726"/>
      <c r="X154" s="726"/>
      <c r="AB154" s="726"/>
      <c r="AF154" s="726"/>
      <c r="AG154" s="726"/>
      <c r="AK154" s="726"/>
    </row>
    <row r="155" spans="4:37" x14ac:dyDescent="0.3">
      <c r="D155" s="726"/>
      <c r="H155" s="726"/>
      <c r="L155" s="726"/>
      <c r="P155" s="726"/>
      <c r="T155" s="726"/>
      <c r="X155" s="726"/>
      <c r="AB155" s="726"/>
      <c r="AF155" s="726"/>
      <c r="AG155" s="726"/>
      <c r="AK155" s="726"/>
    </row>
    <row r="156" spans="4:37" x14ac:dyDescent="0.3">
      <c r="D156" s="726"/>
      <c r="H156" s="726"/>
      <c r="L156" s="726"/>
      <c r="P156" s="726"/>
      <c r="T156" s="726"/>
      <c r="X156" s="726"/>
      <c r="AB156" s="726"/>
      <c r="AF156" s="726"/>
      <c r="AG156" s="726"/>
      <c r="AK156" s="726"/>
    </row>
    <row r="157" spans="4:37" x14ac:dyDescent="0.3">
      <c r="D157" s="726"/>
      <c r="H157" s="726"/>
      <c r="L157" s="726"/>
      <c r="P157" s="726"/>
      <c r="T157" s="726"/>
      <c r="X157" s="726"/>
      <c r="AB157" s="726"/>
      <c r="AF157" s="726"/>
      <c r="AG157" s="726"/>
      <c r="AK157" s="726"/>
    </row>
    <row r="158" spans="4:37" x14ac:dyDescent="0.3">
      <c r="D158" s="726"/>
      <c r="H158" s="726"/>
      <c r="L158" s="726"/>
      <c r="P158" s="726"/>
      <c r="T158" s="726"/>
      <c r="X158" s="726"/>
      <c r="AB158" s="726"/>
      <c r="AF158" s="726"/>
      <c r="AG158" s="726"/>
      <c r="AK158" s="726"/>
    </row>
    <row r="159" spans="4:37" x14ac:dyDescent="0.3">
      <c r="D159" s="726"/>
      <c r="H159" s="726"/>
      <c r="L159" s="726"/>
      <c r="P159" s="726"/>
      <c r="T159" s="726"/>
      <c r="X159" s="726"/>
      <c r="AB159" s="726"/>
      <c r="AF159" s="726"/>
      <c r="AG159" s="726"/>
      <c r="AK159" s="726"/>
    </row>
    <row r="160" spans="4:37" x14ac:dyDescent="0.3">
      <c r="D160" s="726"/>
      <c r="H160" s="726"/>
      <c r="L160" s="726"/>
      <c r="P160" s="726"/>
      <c r="T160" s="726"/>
      <c r="X160" s="726"/>
      <c r="AB160" s="726"/>
      <c r="AF160" s="726"/>
      <c r="AG160" s="726"/>
      <c r="AK160" s="726"/>
    </row>
    <row r="161" spans="4:37" x14ac:dyDescent="0.3">
      <c r="D161" s="726"/>
      <c r="H161" s="726"/>
      <c r="L161" s="726"/>
      <c r="P161" s="726"/>
      <c r="T161" s="726"/>
      <c r="X161" s="726"/>
      <c r="AB161" s="726"/>
      <c r="AF161" s="726"/>
      <c r="AG161" s="726"/>
      <c r="AK161" s="726"/>
    </row>
    <row r="162" spans="4:37" x14ac:dyDescent="0.3">
      <c r="D162" s="726"/>
      <c r="H162" s="726"/>
      <c r="L162" s="726"/>
      <c r="P162" s="726"/>
      <c r="T162" s="726"/>
      <c r="X162" s="726"/>
      <c r="AB162" s="726"/>
      <c r="AF162" s="726"/>
      <c r="AG162" s="726"/>
      <c r="AK162" s="726"/>
    </row>
    <row r="163" spans="4:37" x14ac:dyDescent="0.3">
      <c r="D163" s="726"/>
      <c r="H163" s="726"/>
      <c r="L163" s="726"/>
      <c r="P163" s="726"/>
      <c r="T163" s="726"/>
      <c r="X163" s="726"/>
      <c r="AB163" s="726"/>
      <c r="AF163" s="726"/>
      <c r="AG163" s="726"/>
      <c r="AK163" s="726"/>
    </row>
    <row r="164" spans="4:37" x14ac:dyDescent="0.3">
      <c r="D164" s="726"/>
      <c r="H164" s="726"/>
      <c r="L164" s="726"/>
      <c r="P164" s="726"/>
      <c r="T164" s="726"/>
      <c r="X164" s="726"/>
      <c r="AB164" s="726"/>
      <c r="AF164" s="726"/>
      <c r="AG164" s="726"/>
      <c r="AK164" s="726"/>
    </row>
    <row r="165" spans="4:37" x14ac:dyDescent="0.3">
      <c r="D165" s="726"/>
      <c r="H165" s="726"/>
      <c r="L165" s="726"/>
      <c r="P165" s="726"/>
      <c r="T165" s="726"/>
      <c r="X165" s="726"/>
      <c r="AB165" s="726"/>
      <c r="AF165" s="726"/>
      <c r="AG165" s="726"/>
      <c r="AK165" s="726"/>
    </row>
    <row r="166" spans="4:37" x14ac:dyDescent="0.3">
      <c r="D166" s="726"/>
      <c r="H166" s="726"/>
      <c r="L166" s="726"/>
      <c r="P166" s="726"/>
      <c r="T166" s="726"/>
      <c r="X166" s="726"/>
      <c r="AB166" s="726"/>
      <c r="AF166" s="726"/>
      <c r="AG166" s="726"/>
      <c r="AK166" s="726"/>
    </row>
    <row r="167" spans="4:37" x14ac:dyDescent="0.3">
      <c r="D167" s="726"/>
      <c r="H167" s="726"/>
      <c r="L167" s="726"/>
      <c r="P167" s="726"/>
      <c r="T167" s="726"/>
      <c r="X167" s="726"/>
      <c r="AB167" s="726"/>
      <c r="AF167" s="726"/>
      <c r="AG167" s="726"/>
      <c r="AK167" s="726"/>
    </row>
    <row r="168" spans="4:37" x14ac:dyDescent="0.3">
      <c r="D168" s="726"/>
      <c r="H168" s="726"/>
      <c r="L168" s="726"/>
      <c r="P168" s="726"/>
      <c r="T168" s="726"/>
      <c r="X168" s="726"/>
      <c r="AB168" s="726"/>
      <c r="AF168" s="726"/>
      <c r="AG168" s="726"/>
      <c r="AK168" s="726"/>
    </row>
    <row r="169" spans="4:37" x14ac:dyDescent="0.3">
      <c r="D169" s="726"/>
      <c r="H169" s="726"/>
      <c r="L169" s="726"/>
      <c r="P169" s="726"/>
      <c r="T169" s="726"/>
      <c r="X169" s="726"/>
      <c r="AB169" s="726"/>
      <c r="AF169" s="726"/>
      <c r="AG169" s="726"/>
      <c r="AK169" s="726"/>
    </row>
    <row r="170" spans="4:37" x14ac:dyDescent="0.3">
      <c r="D170" s="726"/>
      <c r="H170" s="726"/>
      <c r="L170" s="726"/>
      <c r="P170" s="726"/>
      <c r="T170" s="726"/>
      <c r="X170" s="726"/>
      <c r="AB170" s="726"/>
      <c r="AF170" s="726"/>
      <c r="AG170" s="726"/>
      <c r="AK170" s="726"/>
    </row>
    <row r="171" spans="4:37" x14ac:dyDescent="0.3">
      <c r="D171" s="726"/>
      <c r="H171" s="726"/>
      <c r="L171" s="726"/>
      <c r="P171" s="726"/>
      <c r="T171" s="726"/>
      <c r="X171" s="726"/>
      <c r="AB171" s="726"/>
      <c r="AF171" s="726"/>
      <c r="AG171" s="726"/>
      <c r="AK171" s="726"/>
    </row>
    <row r="172" spans="4:37" x14ac:dyDescent="0.3">
      <c r="D172" s="726"/>
      <c r="H172" s="726"/>
      <c r="L172" s="726"/>
      <c r="P172" s="726"/>
      <c r="T172" s="726"/>
      <c r="X172" s="726"/>
      <c r="AB172" s="726"/>
      <c r="AF172" s="726"/>
      <c r="AG172" s="726"/>
      <c r="AK172" s="726"/>
    </row>
    <row r="173" spans="4:37" x14ac:dyDescent="0.3">
      <c r="D173" s="726"/>
      <c r="H173" s="726"/>
      <c r="L173" s="726"/>
      <c r="P173" s="726"/>
      <c r="T173" s="726"/>
      <c r="X173" s="726"/>
      <c r="AB173" s="726"/>
      <c r="AF173" s="726"/>
      <c r="AG173" s="726"/>
      <c r="AK173" s="726"/>
    </row>
    <row r="174" spans="4:37" x14ac:dyDescent="0.3">
      <c r="D174" s="726"/>
      <c r="H174" s="726"/>
      <c r="L174" s="726"/>
      <c r="P174" s="726"/>
      <c r="T174" s="726"/>
      <c r="X174" s="726"/>
      <c r="AB174" s="726"/>
      <c r="AF174" s="726"/>
      <c r="AG174" s="726"/>
      <c r="AK174" s="726"/>
    </row>
    <row r="175" spans="4:37" x14ac:dyDescent="0.3">
      <c r="D175" s="726"/>
      <c r="H175" s="726"/>
      <c r="L175" s="726"/>
      <c r="P175" s="726"/>
      <c r="T175" s="726"/>
      <c r="X175" s="726"/>
      <c r="AB175" s="726"/>
      <c r="AF175" s="726"/>
      <c r="AG175" s="726"/>
      <c r="AK175" s="726"/>
    </row>
    <row r="176" spans="4:37" x14ac:dyDescent="0.3">
      <c r="D176" s="726"/>
      <c r="H176" s="726"/>
      <c r="L176" s="726"/>
      <c r="P176" s="726"/>
      <c r="T176" s="726"/>
      <c r="X176" s="726"/>
      <c r="AB176" s="726"/>
      <c r="AF176" s="726"/>
      <c r="AG176" s="726"/>
      <c r="AK176" s="726"/>
    </row>
    <row r="177" spans="4:37" x14ac:dyDescent="0.3">
      <c r="D177" s="726"/>
      <c r="H177" s="726"/>
      <c r="L177" s="726"/>
      <c r="P177" s="726"/>
      <c r="T177" s="726"/>
      <c r="X177" s="726"/>
      <c r="AB177" s="726"/>
      <c r="AF177" s="726"/>
      <c r="AG177" s="726"/>
      <c r="AK177" s="726"/>
    </row>
    <row r="178" spans="4:37" x14ac:dyDescent="0.3">
      <c r="D178" s="726"/>
      <c r="H178" s="726"/>
      <c r="L178" s="726"/>
      <c r="P178" s="726"/>
      <c r="T178" s="726"/>
      <c r="X178" s="726"/>
      <c r="AB178" s="726"/>
      <c r="AF178" s="726"/>
      <c r="AG178" s="726"/>
      <c r="AK178" s="726"/>
    </row>
    <row r="179" spans="4:37" x14ac:dyDescent="0.3">
      <c r="D179" s="726"/>
      <c r="H179" s="726"/>
      <c r="L179" s="726"/>
      <c r="P179" s="726"/>
      <c r="T179" s="726"/>
      <c r="X179" s="726"/>
      <c r="AB179" s="726"/>
      <c r="AF179" s="726"/>
      <c r="AG179" s="726"/>
      <c r="AK179" s="726"/>
    </row>
    <row r="180" spans="4:37" x14ac:dyDescent="0.3">
      <c r="D180" s="726"/>
      <c r="H180" s="726"/>
      <c r="L180" s="726"/>
      <c r="P180" s="726"/>
      <c r="T180" s="726"/>
      <c r="X180" s="726"/>
      <c r="AB180" s="726"/>
      <c r="AF180" s="726"/>
      <c r="AG180" s="726"/>
      <c r="AK180" s="726"/>
    </row>
    <row r="181" spans="4:37" x14ac:dyDescent="0.3">
      <c r="D181" s="726"/>
      <c r="H181" s="726"/>
      <c r="L181" s="726"/>
      <c r="P181" s="726"/>
      <c r="T181" s="726"/>
      <c r="X181" s="726"/>
      <c r="AB181" s="726"/>
      <c r="AF181" s="726"/>
      <c r="AG181" s="726"/>
      <c r="AK181" s="726"/>
    </row>
    <row r="182" spans="4:37" x14ac:dyDescent="0.3">
      <c r="D182" s="726"/>
      <c r="H182" s="726"/>
      <c r="L182" s="726"/>
      <c r="P182" s="726"/>
      <c r="T182" s="726"/>
      <c r="X182" s="726"/>
      <c r="AB182" s="726"/>
      <c r="AF182" s="726"/>
      <c r="AG182" s="726"/>
      <c r="AK182" s="726"/>
    </row>
    <row r="183" spans="4:37" x14ac:dyDescent="0.3">
      <c r="D183" s="726"/>
      <c r="H183" s="726"/>
      <c r="L183" s="726"/>
      <c r="P183" s="726"/>
      <c r="T183" s="726"/>
      <c r="X183" s="726"/>
      <c r="AB183" s="726"/>
      <c r="AF183" s="726"/>
      <c r="AG183" s="726"/>
      <c r="AK183" s="726"/>
    </row>
    <row r="184" spans="4:37" x14ac:dyDescent="0.3">
      <c r="D184" s="726"/>
      <c r="H184" s="726"/>
      <c r="L184" s="726"/>
      <c r="P184" s="726"/>
      <c r="T184" s="726"/>
      <c r="X184" s="726"/>
      <c r="AB184" s="726"/>
      <c r="AF184" s="726"/>
      <c r="AG184" s="726"/>
      <c r="AK184" s="726"/>
    </row>
    <row r="185" spans="4:37" x14ac:dyDescent="0.3">
      <c r="D185" s="726"/>
      <c r="H185" s="726"/>
      <c r="L185" s="726"/>
      <c r="P185" s="726"/>
      <c r="T185" s="726"/>
      <c r="X185" s="726"/>
      <c r="AB185" s="726"/>
      <c r="AF185" s="726"/>
      <c r="AG185" s="726"/>
      <c r="AK185" s="726"/>
    </row>
    <row r="186" spans="4:37" x14ac:dyDescent="0.3">
      <c r="D186" s="726"/>
      <c r="H186" s="726"/>
      <c r="L186" s="726"/>
      <c r="P186" s="726"/>
      <c r="T186" s="726"/>
      <c r="X186" s="726"/>
      <c r="AB186" s="726"/>
      <c r="AF186" s="726"/>
      <c r="AG186" s="726"/>
      <c r="AK186" s="726"/>
    </row>
    <row r="187" spans="4:37" x14ac:dyDescent="0.3">
      <c r="D187" s="726"/>
      <c r="H187" s="726"/>
      <c r="L187" s="726"/>
      <c r="P187" s="726"/>
      <c r="T187" s="726"/>
      <c r="X187" s="726"/>
      <c r="AB187" s="726"/>
      <c r="AF187" s="726"/>
      <c r="AG187" s="726"/>
      <c r="AK187" s="726"/>
    </row>
    <row r="188" spans="4:37" x14ac:dyDescent="0.3">
      <c r="D188" s="726"/>
      <c r="H188" s="726"/>
      <c r="L188" s="726"/>
      <c r="P188" s="726"/>
      <c r="T188" s="726"/>
      <c r="X188" s="726"/>
      <c r="AB188" s="726"/>
      <c r="AF188" s="726"/>
      <c r="AG188" s="726"/>
      <c r="AK188" s="726"/>
    </row>
    <row r="189" spans="4:37" x14ac:dyDescent="0.3">
      <c r="D189" s="726"/>
      <c r="H189" s="726"/>
      <c r="L189" s="726"/>
      <c r="P189" s="726"/>
      <c r="T189" s="726"/>
      <c r="X189" s="726"/>
      <c r="AB189" s="726"/>
      <c r="AF189" s="726"/>
      <c r="AG189" s="726"/>
      <c r="AK189" s="726"/>
    </row>
    <row r="190" spans="4:37" x14ac:dyDescent="0.3">
      <c r="D190" s="726"/>
      <c r="H190" s="726"/>
      <c r="L190" s="726"/>
      <c r="P190" s="726"/>
      <c r="T190" s="726"/>
      <c r="X190" s="726"/>
      <c r="AB190" s="726"/>
      <c r="AF190" s="726"/>
      <c r="AG190" s="726"/>
      <c r="AK190" s="726"/>
    </row>
    <row r="191" spans="4:37" x14ac:dyDescent="0.3">
      <c r="D191" s="726"/>
      <c r="H191" s="726"/>
      <c r="L191" s="726"/>
      <c r="P191" s="726"/>
      <c r="T191" s="726"/>
      <c r="X191" s="726"/>
      <c r="AB191" s="726"/>
      <c r="AF191" s="726"/>
      <c r="AG191" s="726"/>
      <c r="AK191" s="726"/>
    </row>
    <row r="192" spans="4:37" x14ac:dyDescent="0.3">
      <c r="D192" s="726"/>
      <c r="H192" s="726"/>
      <c r="L192" s="726"/>
      <c r="P192" s="726"/>
      <c r="T192" s="726"/>
      <c r="X192" s="726"/>
      <c r="AB192" s="726"/>
      <c r="AF192" s="726"/>
      <c r="AG192" s="726"/>
      <c r="AK192" s="726"/>
    </row>
    <row r="193" spans="4:37" x14ac:dyDescent="0.3">
      <c r="D193" s="726"/>
      <c r="H193" s="726"/>
      <c r="L193" s="726"/>
      <c r="P193" s="726"/>
      <c r="T193" s="726"/>
      <c r="X193" s="726"/>
      <c r="AB193" s="726"/>
      <c r="AF193" s="726"/>
      <c r="AG193" s="726"/>
      <c r="AK193" s="726"/>
    </row>
    <row r="194" spans="4:37" x14ac:dyDescent="0.3">
      <c r="D194" s="726"/>
      <c r="H194" s="726"/>
      <c r="L194" s="726"/>
      <c r="P194" s="726"/>
      <c r="T194" s="726"/>
      <c r="X194" s="726"/>
      <c r="AB194" s="726"/>
      <c r="AF194" s="726"/>
      <c r="AG194" s="726"/>
      <c r="AK194" s="726"/>
    </row>
    <row r="195" spans="4:37" x14ac:dyDescent="0.3">
      <c r="D195" s="726"/>
      <c r="H195" s="726"/>
      <c r="L195" s="726"/>
      <c r="P195" s="726"/>
      <c r="T195" s="726"/>
      <c r="X195" s="726"/>
      <c r="AB195" s="726"/>
      <c r="AF195" s="726"/>
      <c r="AG195" s="726"/>
      <c r="AK195" s="726"/>
    </row>
    <row r="196" spans="4:37" x14ac:dyDescent="0.3">
      <c r="D196" s="726"/>
      <c r="H196" s="726"/>
      <c r="L196" s="726"/>
      <c r="P196" s="726"/>
      <c r="T196" s="726"/>
      <c r="X196" s="726"/>
      <c r="AB196" s="726"/>
      <c r="AF196" s="726"/>
      <c r="AG196" s="726"/>
      <c r="AK196" s="726"/>
    </row>
    <row r="197" spans="4:37" x14ac:dyDescent="0.3">
      <c r="D197" s="726"/>
      <c r="H197" s="726"/>
      <c r="L197" s="726"/>
      <c r="P197" s="726"/>
      <c r="T197" s="726"/>
      <c r="X197" s="726"/>
      <c r="AB197" s="726"/>
      <c r="AF197" s="726"/>
      <c r="AG197" s="726"/>
      <c r="AK197" s="726"/>
    </row>
    <row r="198" spans="4:37" x14ac:dyDescent="0.3">
      <c r="D198" s="726"/>
      <c r="H198" s="726"/>
      <c r="L198" s="726"/>
      <c r="P198" s="726"/>
      <c r="T198" s="726"/>
      <c r="X198" s="726"/>
      <c r="AB198" s="726"/>
      <c r="AF198" s="726"/>
      <c r="AG198" s="726"/>
      <c r="AK198" s="726"/>
    </row>
    <row r="199" spans="4:37" x14ac:dyDescent="0.3">
      <c r="D199" s="726"/>
      <c r="H199" s="726"/>
      <c r="L199" s="726"/>
      <c r="P199" s="726"/>
      <c r="T199" s="726"/>
      <c r="X199" s="726"/>
      <c r="AB199" s="726"/>
      <c r="AF199" s="726"/>
      <c r="AG199" s="726"/>
      <c r="AK199" s="726"/>
    </row>
    <row r="200" spans="4:37" x14ac:dyDescent="0.3">
      <c r="D200" s="726"/>
      <c r="H200" s="726"/>
      <c r="L200" s="726"/>
      <c r="P200" s="726"/>
      <c r="T200" s="726"/>
      <c r="X200" s="726"/>
      <c r="AB200" s="726"/>
      <c r="AF200" s="726"/>
      <c r="AG200" s="726"/>
      <c r="AK200" s="726"/>
    </row>
    <row r="201" spans="4:37" x14ac:dyDescent="0.3">
      <c r="D201" s="726"/>
      <c r="H201" s="726"/>
      <c r="L201" s="726"/>
      <c r="P201" s="726"/>
      <c r="T201" s="726"/>
      <c r="X201" s="726"/>
      <c r="AB201" s="726"/>
      <c r="AF201" s="726"/>
      <c r="AG201" s="726"/>
      <c r="AK201" s="726"/>
    </row>
    <row r="202" spans="4:37" x14ac:dyDescent="0.3">
      <c r="D202" s="726"/>
      <c r="H202" s="726"/>
      <c r="L202" s="726"/>
      <c r="P202" s="726"/>
      <c r="T202" s="726"/>
      <c r="X202" s="726"/>
      <c r="AB202" s="726"/>
      <c r="AF202" s="726"/>
      <c r="AG202" s="726"/>
      <c r="AK202" s="726"/>
    </row>
    <row r="203" spans="4:37" x14ac:dyDescent="0.3">
      <c r="D203" s="726"/>
      <c r="H203" s="726"/>
      <c r="L203" s="726"/>
      <c r="P203" s="726"/>
      <c r="T203" s="726"/>
      <c r="X203" s="726"/>
      <c r="AB203" s="726"/>
      <c r="AF203" s="726"/>
      <c r="AG203" s="726"/>
      <c r="AK203" s="726"/>
    </row>
    <row r="204" spans="4:37" x14ac:dyDescent="0.3">
      <c r="D204" s="726"/>
      <c r="H204" s="726"/>
      <c r="L204" s="726"/>
      <c r="P204" s="726"/>
      <c r="T204" s="726"/>
      <c r="X204" s="726"/>
      <c r="AB204" s="726"/>
      <c r="AF204" s="726"/>
      <c r="AG204" s="726"/>
      <c r="AK204" s="726"/>
    </row>
    <row r="205" spans="4:37" x14ac:dyDescent="0.3">
      <c r="D205" s="726"/>
      <c r="H205" s="726"/>
      <c r="L205" s="726"/>
      <c r="P205" s="726"/>
      <c r="T205" s="726"/>
      <c r="X205" s="726"/>
      <c r="AB205" s="726"/>
      <c r="AF205" s="726"/>
      <c r="AG205" s="726"/>
      <c r="AK205" s="726"/>
    </row>
    <row r="206" spans="4:37" x14ac:dyDescent="0.3">
      <c r="D206" s="726"/>
      <c r="H206" s="726"/>
      <c r="L206" s="726"/>
      <c r="P206" s="726"/>
      <c r="T206" s="726"/>
      <c r="X206" s="726"/>
      <c r="AB206" s="726"/>
      <c r="AF206" s="726"/>
      <c r="AG206" s="726"/>
      <c r="AK206" s="726"/>
    </row>
    <row r="207" spans="4:37" x14ac:dyDescent="0.3">
      <c r="D207" s="726"/>
      <c r="H207" s="726"/>
      <c r="L207" s="726"/>
      <c r="P207" s="726"/>
      <c r="T207" s="726"/>
      <c r="X207" s="726"/>
      <c r="AB207" s="726"/>
      <c r="AF207" s="726"/>
      <c r="AG207" s="726"/>
      <c r="AK207" s="726"/>
    </row>
    <row r="208" spans="4:37" x14ac:dyDescent="0.3">
      <c r="D208" s="726"/>
      <c r="H208" s="726"/>
      <c r="L208" s="726"/>
      <c r="P208" s="726"/>
      <c r="T208" s="726"/>
      <c r="X208" s="726"/>
      <c r="AB208" s="726"/>
      <c r="AF208" s="726"/>
      <c r="AG208" s="726"/>
      <c r="AK208" s="726"/>
    </row>
    <row r="209" spans="4:37" x14ac:dyDescent="0.3">
      <c r="D209" s="726"/>
      <c r="H209" s="726"/>
      <c r="L209" s="726"/>
      <c r="P209" s="726"/>
      <c r="T209" s="726"/>
      <c r="X209" s="726"/>
      <c r="AB209" s="726"/>
      <c r="AF209" s="726"/>
      <c r="AG209" s="726"/>
      <c r="AK209" s="726"/>
    </row>
    <row r="210" spans="4:37" x14ac:dyDescent="0.3">
      <c r="D210" s="726"/>
      <c r="H210" s="726"/>
      <c r="L210" s="726"/>
      <c r="P210" s="726"/>
      <c r="T210" s="726"/>
      <c r="X210" s="726"/>
      <c r="AB210" s="726"/>
      <c r="AF210" s="726"/>
      <c r="AG210" s="726"/>
      <c r="AK210" s="726"/>
    </row>
    <row r="211" spans="4:37" x14ac:dyDescent="0.3">
      <c r="D211" s="726"/>
      <c r="H211" s="726"/>
      <c r="L211" s="726"/>
      <c r="P211" s="726"/>
      <c r="T211" s="726"/>
      <c r="X211" s="726"/>
      <c r="AB211" s="726"/>
      <c r="AF211" s="726"/>
      <c r="AG211" s="726"/>
      <c r="AK211" s="726"/>
    </row>
    <row r="212" spans="4:37" x14ac:dyDescent="0.3">
      <c r="D212" s="726"/>
      <c r="H212" s="726"/>
      <c r="L212" s="726"/>
      <c r="P212" s="726"/>
      <c r="T212" s="726"/>
      <c r="X212" s="726"/>
      <c r="AB212" s="726"/>
      <c r="AF212" s="726"/>
      <c r="AG212" s="726"/>
      <c r="AK212" s="726"/>
    </row>
    <row r="213" spans="4:37" x14ac:dyDescent="0.3">
      <c r="D213" s="726"/>
      <c r="H213" s="726"/>
      <c r="L213" s="726"/>
      <c r="P213" s="726"/>
      <c r="T213" s="726"/>
      <c r="X213" s="726"/>
      <c r="AB213" s="726"/>
      <c r="AF213" s="726"/>
      <c r="AG213" s="726"/>
      <c r="AK213" s="726"/>
    </row>
    <row r="214" spans="4:37" x14ac:dyDescent="0.3">
      <c r="D214" s="726"/>
      <c r="H214" s="726"/>
      <c r="L214" s="726"/>
      <c r="P214" s="726"/>
      <c r="T214" s="726"/>
      <c r="X214" s="726"/>
      <c r="AB214" s="726"/>
      <c r="AF214" s="726"/>
      <c r="AG214" s="726"/>
      <c r="AK214" s="726"/>
    </row>
    <row r="215" spans="4:37" x14ac:dyDescent="0.3">
      <c r="D215" s="726"/>
      <c r="H215" s="726"/>
      <c r="L215" s="726"/>
      <c r="P215" s="726"/>
      <c r="T215" s="726"/>
      <c r="X215" s="726"/>
      <c r="AB215" s="726"/>
      <c r="AF215" s="726"/>
      <c r="AG215" s="726"/>
      <c r="AK215" s="726"/>
    </row>
    <row r="216" spans="4:37" x14ac:dyDescent="0.3">
      <c r="D216" s="726"/>
      <c r="H216" s="726"/>
      <c r="L216" s="726"/>
      <c r="P216" s="726"/>
      <c r="T216" s="726"/>
      <c r="X216" s="726"/>
      <c r="AB216" s="726"/>
      <c r="AF216" s="726"/>
      <c r="AG216" s="726"/>
      <c r="AK216" s="726"/>
    </row>
    <row r="217" spans="4:37" x14ac:dyDescent="0.3">
      <c r="D217" s="726"/>
      <c r="H217" s="726"/>
      <c r="L217" s="726"/>
      <c r="P217" s="726"/>
      <c r="T217" s="726"/>
      <c r="X217" s="726"/>
      <c r="AB217" s="726"/>
      <c r="AF217" s="726"/>
      <c r="AG217" s="726"/>
      <c r="AK217" s="726"/>
    </row>
    <row r="218" spans="4:37" x14ac:dyDescent="0.3">
      <c r="D218" s="726"/>
      <c r="H218" s="726"/>
      <c r="L218" s="726"/>
      <c r="P218" s="726"/>
      <c r="T218" s="726"/>
      <c r="X218" s="726"/>
      <c r="AB218" s="726"/>
      <c r="AF218" s="726"/>
      <c r="AG218" s="726"/>
      <c r="AK218" s="726"/>
    </row>
    <row r="219" spans="4:37" x14ac:dyDescent="0.3">
      <c r="D219" s="726"/>
      <c r="H219" s="726"/>
      <c r="L219" s="726"/>
      <c r="P219" s="726"/>
      <c r="T219" s="726"/>
      <c r="X219" s="726"/>
      <c r="AB219" s="726"/>
      <c r="AF219" s="726"/>
      <c r="AG219" s="726"/>
      <c r="AK219" s="726"/>
    </row>
    <row r="220" spans="4:37" x14ac:dyDescent="0.3">
      <c r="D220" s="726"/>
      <c r="H220" s="726"/>
      <c r="L220" s="726"/>
      <c r="P220" s="726"/>
      <c r="T220" s="726"/>
      <c r="X220" s="726"/>
      <c r="AB220" s="726"/>
      <c r="AF220" s="726"/>
      <c r="AG220" s="726"/>
      <c r="AK220" s="726"/>
    </row>
    <row r="221" spans="4:37" x14ac:dyDescent="0.3">
      <c r="D221" s="726"/>
      <c r="H221" s="726"/>
      <c r="L221" s="726"/>
      <c r="P221" s="726"/>
      <c r="T221" s="726"/>
      <c r="X221" s="726"/>
      <c r="AB221" s="726"/>
      <c r="AF221" s="726"/>
      <c r="AG221" s="726"/>
      <c r="AK221" s="726"/>
    </row>
    <row r="222" spans="4:37" x14ac:dyDescent="0.3">
      <c r="D222" s="726"/>
      <c r="H222" s="726"/>
      <c r="L222" s="726"/>
      <c r="P222" s="726"/>
      <c r="T222" s="726"/>
      <c r="X222" s="726"/>
      <c r="AB222" s="726"/>
      <c r="AF222" s="726"/>
      <c r="AG222" s="726"/>
      <c r="AK222" s="726"/>
    </row>
    <row r="223" spans="4:37" x14ac:dyDescent="0.3">
      <c r="D223" s="726"/>
      <c r="H223" s="726"/>
      <c r="L223" s="726"/>
      <c r="P223" s="726"/>
      <c r="T223" s="726"/>
      <c r="X223" s="726"/>
      <c r="AB223" s="726"/>
      <c r="AF223" s="726"/>
      <c r="AG223" s="726"/>
      <c r="AK223" s="726"/>
    </row>
    <row r="224" spans="4:37" x14ac:dyDescent="0.3">
      <c r="D224" s="726"/>
      <c r="H224" s="726"/>
      <c r="L224" s="726"/>
      <c r="P224" s="726"/>
      <c r="T224" s="726"/>
      <c r="X224" s="726"/>
      <c r="AB224" s="726"/>
      <c r="AF224" s="726"/>
      <c r="AG224" s="726"/>
      <c r="AK224" s="726"/>
    </row>
    <row r="225" spans="4:37" x14ac:dyDescent="0.3">
      <c r="D225" s="726"/>
      <c r="H225" s="726"/>
      <c r="L225" s="726"/>
      <c r="P225" s="726"/>
      <c r="T225" s="726"/>
      <c r="X225" s="726"/>
      <c r="AB225" s="726"/>
      <c r="AF225" s="726"/>
      <c r="AG225" s="726"/>
      <c r="AK225" s="726"/>
    </row>
    <row r="226" spans="4:37" x14ac:dyDescent="0.3">
      <c r="D226" s="726"/>
      <c r="H226" s="726"/>
      <c r="L226" s="726"/>
      <c r="P226" s="726"/>
      <c r="T226" s="726"/>
      <c r="X226" s="726"/>
      <c r="AB226" s="726"/>
      <c r="AF226" s="726"/>
      <c r="AG226" s="726"/>
      <c r="AK226" s="726"/>
    </row>
    <row r="227" spans="4:37" x14ac:dyDescent="0.3">
      <c r="D227" s="726"/>
      <c r="H227" s="726"/>
      <c r="L227" s="726"/>
      <c r="P227" s="726"/>
      <c r="T227" s="726"/>
      <c r="X227" s="726"/>
      <c r="AB227" s="726"/>
      <c r="AF227" s="726"/>
      <c r="AG227" s="726"/>
      <c r="AK227" s="726"/>
    </row>
    <row r="228" spans="4:37" x14ac:dyDescent="0.3">
      <c r="D228" s="726"/>
      <c r="H228" s="726"/>
      <c r="L228" s="726"/>
      <c r="P228" s="726"/>
      <c r="T228" s="726"/>
      <c r="X228" s="726"/>
      <c r="AB228" s="726"/>
      <c r="AF228" s="726"/>
      <c r="AG228" s="726"/>
      <c r="AK228" s="726"/>
    </row>
    <row r="229" spans="4:37" x14ac:dyDescent="0.3">
      <c r="D229" s="726"/>
      <c r="H229" s="726"/>
      <c r="L229" s="726"/>
      <c r="P229" s="726"/>
      <c r="T229" s="726"/>
      <c r="X229" s="726"/>
      <c r="AB229" s="726"/>
      <c r="AF229" s="726"/>
      <c r="AG229" s="726"/>
      <c r="AK229" s="726"/>
    </row>
    <row r="230" spans="4:37" x14ac:dyDescent="0.3">
      <c r="D230" s="726"/>
      <c r="H230" s="726"/>
      <c r="L230" s="726"/>
      <c r="P230" s="726"/>
      <c r="T230" s="726"/>
      <c r="X230" s="726"/>
      <c r="AB230" s="726"/>
      <c r="AF230" s="726"/>
      <c r="AG230" s="726"/>
      <c r="AK230" s="726"/>
    </row>
    <row r="231" spans="4:37" x14ac:dyDescent="0.3">
      <c r="D231" s="726"/>
      <c r="H231" s="726"/>
      <c r="L231" s="726"/>
      <c r="P231" s="726"/>
      <c r="T231" s="726"/>
      <c r="X231" s="726"/>
      <c r="AB231" s="726"/>
      <c r="AF231" s="726"/>
      <c r="AG231" s="726"/>
      <c r="AK231" s="726"/>
    </row>
    <row r="232" spans="4:37" x14ac:dyDescent="0.3">
      <c r="D232" s="726"/>
      <c r="H232" s="726"/>
      <c r="L232" s="726"/>
      <c r="P232" s="726"/>
      <c r="T232" s="726"/>
      <c r="X232" s="726"/>
      <c r="AB232" s="726"/>
      <c r="AF232" s="726"/>
      <c r="AG232" s="726"/>
      <c r="AK232" s="726"/>
    </row>
    <row r="233" spans="4:37" x14ac:dyDescent="0.3">
      <c r="D233" s="726"/>
      <c r="H233" s="726"/>
      <c r="L233" s="726"/>
      <c r="P233" s="726"/>
      <c r="T233" s="726"/>
      <c r="X233" s="726"/>
      <c r="AB233" s="726"/>
      <c r="AF233" s="726"/>
      <c r="AG233" s="726"/>
      <c r="AK233" s="726"/>
    </row>
    <row r="234" spans="4:37" x14ac:dyDescent="0.3">
      <c r="D234" s="726"/>
      <c r="H234" s="726"/>
      <c r="L234" s="726"/>
      <c r="P234" s="726"/>
      <c r="T234" s="726"/>
      <c r="X234" s="726"/>
      <c r="AB234" s="726"/>
      <c r="AF234" s="726"/>
      <c r="AG234" s="726"/>
      <c r="AK234" s="726"/>
    </row>
    <row r="235" spans="4:37" x14ac:dyDescent="0.3">
      <c r="D235" s="726"/>
      <c r="H235" s="726"/>
      <c r="L235" s="726"/>
      <c r="P235" s="726"/>
      <c r="T235" s="726"/>
      <c r="X235" s="726"/>
      <c r="AB235" s="726"/>
      <c r="AF235" s="726"/>
      <c r="AG235" s="726"/>
      <c r="AK235" s="726"/>
    </row>
    <row r="236" spans="4:37" x14ac:dyDescent="0.3">
      <c r="D236" s="726"/>
      <c r="H236" s="726"/>
      <c r="L236" s="726"/>
      <c r="P236" s="726"/>
      <c r="T236" s="726"/>
      <c r="X236" s="726"/>
      <c r="AB236" s="726"/>
      <c r="AF236" s="726"/>
      <c r="AG236" s="726"/>
      <c r="AK236" s="726"/>
    </row>
    <row r="237" spans="4:37" x14ac:dyDescent="0.3">
      <c r="D237" s="726"/>
      <c r="H237" s="726"/>
      <c r="L237" s="726"/>
      <c r="P237" s="726"/>
      <c r="T237" s="726"/>
      <c r="X237" s="726"/>
      <c r="AB237" s="726"/>
      <c r="AF237" s="726"/>
      <c r="AG237" s="726"/>
      <c r="AK237" s="726"/>
    </row>
    <row r="238" spans="4:37" x14ac:dyDescent="0.3">
      <c r="D238" s="726"/>
      <c r="H238" s="726"/>
      <c r="L238" s="726"/>
      <c r="P238" s="726"/>
      <c r="T238" s="726"/>
      <c r="X238" s="726"/>
      <c r="AB238" s="726"/>
      <c r="AF238" s="726"/>
      <c r="AG238" s="726"/>
      <c r="AK238" s="726"/>
    </row>
    <row r="239" spans="4:37" x14ac:dyDescent="0.3">
      <c r="D239" s="726"/>
      <c r="H239" s="726"/>
      <c r="L239" s="726"/>
      <c r="P239" s="726"/>
      <c r="T239" s="726"/>
      <c r="X239" s="726"/>
      <c r="AB239" s="726"/>
      <c r="AF239" s="726"/>
      <c r="AG239" s="726"/>
      <c r="AK239" s="726"/>
    </row>
    <row r="240" spans="4:37" x14ac:dyDescent="0.3">
      <c r="D240" s="726"/>
      <c r="H240" s="726"/>
      <c r="L240" s="726"/>
      <c r="P240" s="726"/>
      <c r="T240" s="726"/>
      <c r="X240" s="726"/>
      <c r="AB240" s="726"/>
      <c r="AF240" s="726"/>
      <c r="AG240" s="726"/>
      <c r="AK240" s="726"/>
    </row>
    <row r="241" spans="4:37" x14ac:dyDescent="0.3">
      <c r="D241" s="726"/>
      <c r="H241" s="726"/>
      <c r="L241" s="726"/>
      <c r="P241" s="726"/>
      <c r="T241" s="726"/>
      <c r="X241" s="726"/>
      <c r="AB241" s="726"/>
      <c r="AF241" s="726"/>
      <c r="AG241" s="726"/>
      <c r="AK241" s="726"/>
    </row>
    <row r="242" spans="4:37" x14ac:dyDescent="0.3">
      <c r="D242" s="726"/>
      <c r="H242" s="726"/>
      <c r="L242" s="726"/>
      <c r="P242" s="726"/>
      <c r="T242" s="726"/>
      <c r="X242" s="726"/>
      <c r="AB242" s="726"/>
      <c r="AF242" s="726"/>
      <c r="AG242" s="726"/>
      <c r="AK242" s="726"/>
    </row>
    <row r="243" spans="4:37" x14ac:dyDescent="0.3">
      <c r="D243" s="726"/>
      <c r="H243" s="726"/>
      <c r="L243" s="726"/>
      <c r="P243" s="726"/>
      <c r="T243" s="726"/>
      <c r="X243" s="726"/>
      <c r="AB243" s="726"/>
      <c r="AF243" s="726"/>
      <c r="AG243" s="726"/>
      <c r="AK243" s="726"/>
    </row>
    <row r="244" spans="4:37" x14ac:dyDescent="0.3">
      <c r="D244" s="726"/>
      <c r="H244" s="726"/>
      <c r="L244" s="726"/>
      <c r="P244" s="726"/>
      <c r="T244" s="726"/>
      <c r="X244" s="726"/>
      <c r="AB244" s="726"/>
      <c r="AF244" s="726"/>
      <c r="AG244" s="726"/>
      <c r="AK244" s="726"/>
    </row>
    <row r="245" spans="4:37" x14ac:dyDescent="0.3">
      <c r="D245" s="726"/>
      <c r="H245" s="726"/>
      <c r="L245" s="726"/>
      <c r="P245" s="726"/>
      <c r="T245" s="726"/>
      <c r="X245" s="726"/>
      <c r="AB245" s="726"/>
      <c r="AF245" s="726"/>
      <c r="AG245" s="726"/>
      <c r="AK245" s="726"/>
    </row>
    <row r="246" spans="4:37" x14ac:dyDescent="0.3">
      <c r="D246" s="726"/>
      <c r="H246" s="726"/>
      <c r="L246" s="726"/>
      <c r="P246" s="726"/>
      <c r="T246" s="726"/>
      <c r="X246" s="726"/>
      <c r="AB246" s="726"/>
      <c r="AF246" s="726"/>
      <c r="AG246" s="726"/>
      <c r="AK246" s="726"/>
    </row>
    <row r="247" spans="4:37" x14ac:dyDescent="0.3">
      <c r="D247" s="726"/>
      <c r="H247" s="726"/>
      <c r="L247" s="726"/>
      <c r="P247" s="726"/>
      <c r="T247" s="726"/>
      <c r="X247" s="726"/>
      <c r="AB247" s="726"/>
      <c r="AF247" s="726"/>
      <c r="AG247" s="726"/>
      <c r="AK247" s="726"/>
    </row>
    <row r="248" spans="4:37" x14ac:dyDescent="0.3">
      <c r="D248" s="726"/>
      <c r="H248" s="726"/>
      <c r="L248" s="726"/>
      <c r="P248" s="726"/>
      <c r="T248" s="726"/>
      <c r="X248" s="726"/>
      <c r="AB248" s="726"/>
      <c r="AF248" s="726"/>
      <c r="AG248" s="726"/>
      <c r="AK248" s="726"/>
    </row>
    <row r="249" spans="4:37" x14ac:dyDescent="0.3">
      <c r="D249" s="726"/>
      <c r="H249" s="726"/>
      <c r="L249" s="726"/>
      <c r="P249" s="726"/>
      <c r="T249" s="726"/>
      <c r="X249" s="726"/>
      <c r="AB249" s="726"/>
      <c r="AF249" s="726"/>
      <c r="AG249" s="726"/>
      <c r="AK249" s="726"/>
    </row>
    <row r="250" spans="4:37" x14ac:dyDescent="0.3">
      <c r="D250" s="726"/>
      <c r="H250" s="726"/>
      <c r="L250" s="726"/>
      <c r="P250" s="726"/>
      <c r="T250" s="726"/>
      <c r="X250" s="726"/>
      <c r="AB250" s="726"/>
      <c r="AF250" s="726"/>
      <c r="AG250" s="726"/>
      <c r="AK250" s="726"/>
    </row>
    <row r="251" spans="4:37" x14ac:dyDescent="0.3">
      <c r="D251" s="726"/>
      <c r="H251" s="726"/>
      <c r="L251" s="726"/>
      <c r="P251" s="726"/>
      <c r="T251" s="726"/>
      <c r="X251" s="726"/>
      <c r="AB251" s="726"/>
      <c r="AF251" s="726"/>
      <c r="AG251" s="726"/>
      <c r="AK251" s="726"/>
    </row>
    <row r="252" spans="4:37" x14ac:dyDescent="0.3">
      <c r="D252" s="726"/>
      <c r="H252" s="726"/>
      <c r="L252" s="726"/>
      <c r="P252" s="726"/>
      <c r="T252" s="726"/>
      <c r="X252" s="726"/>
      <c r="AB252" s="726"/>
      <c r="AF252" s="726"/>
      <c r="AG252" s="726"/>
      <c r="AK252" s="726"/>
    </row>
    <row r="253" spans="4:37" x14ac:dyDescent="0.3">
      <c r="D253" s="726"/>
      <c r="H253" s="726"/>
      <c r="L253" s="726"/>
      <c r="P253" s="726"/>
      <c r="T253" s="726"/>
      <c r="X253" s="726"/>
      <c r="AB253" s="726"/>
      <c r="AF253" s="726"/>
      <c r="AG253" s="726"/>
      <c r="AK253" s="726"/>
    </row>
    <row r="254" spans="4:37" x14ac:dyDescent="0.3">
      <c r="D254" s="726"/>
      <c r="H254" s="726"/>
      <c r="L254" s="726"/>
      <c r="P254" s="726"/>
      <c r="T254" s="726"/>
      <c r="X254" s="726"/>
      <c r="AB254" s="726"/>
      <c r="AF254" s="726"/>
      <c r="AG254" s="726"/>
      <c r="AK254" s="726"/>
    </row>
    <row r="255" spans="4:37" x14ac:dyDescent="0.3">
      <c r="D255" s="726"/>
      <c r="H255" s="726"/>
      <c r="L255" s="726"/>
      <c r="P255" s="726"/>
      <c r="T255" s="726"/>
      <c r="X255" s="726"/>
      <c r="AB255" s="726"/>
      <c r="AF255" s="726"/>
      <c r="AG255" s="726"/>
      <c r="AK255" s="726"/>
    </row>
    <row r="256" spans="4:37" x14ac:dyDescent="0.3">
      <c r="D256" s="726"/>
      <c r="H256" s="726"/>
      <c r="L256" s="726"/>
      <c r="P256" s="726"/>
      <c r="T256" s="726"/>
      <c r="X256" s="726"/>
      <c r="AB256" s="726"/>
      <c r="AF256" s="726"/>
      <c r="AG256" s="726"/>
      <c r="AK256" s="726"/>
    </row>
    <row r="257" spans="4:37" x14ac:dyDescent="0.3">
      <c r="D257" s="726"/>
      <c r="H257" s="726"/>
      <c r="L257" s="726"/>
      <c r="P257" s="726"/>
      <c r="T257" s="726"/>
      <c r="X257" s="726"/>
      <c r="AB257" s="726"/>
      <c r="AF257" s="726"/>
      <c r="AG257" s="726"/>
      <c r="AK257" s="726"/>
    </row>
    <row r="258" spans="4:37" x14ac:dyDescent="0.3">
      <c r="D258" s="726"/>
      <c r="H258" s="726"/>
      <c r="L258" s="726"/>
      <c r="P258" s="726"/>
      <c r="T258" s="726"/>
      <c r="X258" s="726"/>
      <c r="AB258" s="726"/>
      <c r="AF258" s="726"/>
      <c r="AG258" s="726"/>
      <c r="AK258" s="726"/>
    </row>
    <row r="259" spans="4:37" x14ac:dyDescent="0.3">
      <c r="D259" s="726"/>
      <c r="H259" s="726"/>
      <c r="L259" s="726"/>
      <c r="P259" s="726"/>
      <c r="T259" s="726"/>
      <c r="X259" s="726"/>
      <c r="AB259" s="726"/>
      <c r="AF259" s="726"/>
      <c r="AG259" s="726"/>
      <c r="AK259" s="726"/>
    </row>
    <row r="260" spans="4:37" x14ac:dyDescent="0.3">
      <c r="D260" s="726"/>
      <c r="H260" s="726"/>
      <c r="L260" s="726"/>
      <c r="P260" s="726"/>
      <c r="T260" s="726"/>
      <c r="X260" s="726"/>
      <c r="AB260" s="726"/>
      <c r="AF260" s="726"/>
      <c r="AG260" s="726"/>
      <c r="AK260" s="726"/>
    </row>
    <row r="261" spans="4:37" x14ac:dyDescent="0.3">
      <c r="D261" s="726"/>
      <c r="H261" s="726"/>
      <c r="L261" s="726"/>
      <c r="P261" s="726"/>
      <c r="T261" s="726"/>
      <c r="X261" s="726"/>
      <c r="AB261" s="726"/>
      <c r="AF261" s="726"/>
      <c r="AG261" s="726"/>
      <c r="AK261" s="726"/>
    </row>
    <row r="262" spans="4:37" x14ac:dyDescent="0.3">
      <c r="D262" s="726"/>
      <c r="H262" s="726"/>
      <c r="L262" s="726"/>
      <c r="P262" s="726"/>
      <c r="T262" s="726"/>
      <c r="X262" s="726"/>
      <c r="AB262" s="726"/>
      <c r="AF262" s="726"/>
      <c r="AG262" s="726"/>
      <c r="AK262" s="726"/>
    </row>
    <row r="263" spans="4:37" x14ac:dyDescent="0.3">
      <c r="D263" s="726"/>
      <c r="H263" s="726"/>
      <c r="L263" s="726"/>
      <c r="P263" s="726"/>
      <c r="T263" s="726"/>
      <c r="X263" s="726"/>
      <c r="AB263" s="726"/>
      <c r="AF263" s="726"/>
      <c r="AG263" s="726"/>
      <c r="AK263" s="726"/>
    </row>
    <row r="264" spans="4:37" x14ac:dyDescent="0.3">
      <c r="D264" s="726"/>
      <c r="H264" s="726"/>
      <c r="L264" s="726"/>
      <c r="P264" s="726"/>
      <c r="T264" s="726"/>
      <c r="X264" s="726"/>
      <c r="AB264" s="726"/>
      <c r="AF264" s="726"/>
      <c r="AG264" s="726"/>
      <c r="AK264" s="726"/>
    </row>
    <row r="265" spans="4:37" x14ac:dyDescent="0.3">
      <c r="D265" s="726"/>
      <c r="H265" s="726"/>
      <c r="L265" s="726"/>
      <c r="P265" s="726"/>
      <c r="T265" s="726"/>
      <c r="X265" s="726"/>
      <c r="AB265" s="726"/>
      <c r="AF265" s="726"/>
      <c r="AG265" s="726"/>
      <c r="AK265" s="726"/>
    </row>
    <row r="266" spans="4:37" x14ac:dyDescent="0.3">
      <c r="D266" s="726"/>
      <c r="H266" s="726"/>
      <c r="L266" s="726"/>
      <c r="P266" s="726"/>
      <c r="T266" s="726"/>
      <c r="X266" s="726"/>
      <c r="AB266" s="726"/>
      <c r="AF266" s="726"/>
      <c r="AG266" s="726"/>
      <c r="AK266" s="726"/>
    </row>
    <row r="267" spans="4:37" x14ac:dyDescent="0.3">
      <c r="D267" s="726"/>
      <c r="H267" s="726"/>
      <c r="L267" s="726"/>
      <c r="P267" s="726"/>
      <c r="T267" s="726"/>
      <c r="X267" s="726"/>
      <c r="AB267" s="726"/>
      <c r="AF267" s="726"/>
      <c r="AG267" s="726"/>
      <c r="AK267" s="726"/>
    </row>
    <row r="268" spans="4:37" x14ac:dyDescent="0.3">
      <c r="D268" s="726"/>
      <c r="H268" s="726"/>
      <c r="L268" s="726"/>
      <c r="P268" s="726"/>
      <c r="T268" s="726"/>
      <c r="X268" s="726"/>
      <c r="AB268" s="726"/>
      <c r="AF268" s="726"/>
      <c r="AG268" s="726"/>
      <c r="AK268" s="726"/>
    </row>
    <row r="269" spans="4:37" x14ac:dyDescent="0.3">
      <c r="D269" s="726"/>
      <c r="H269" s="726"/>
      <c r="L269" s="726"/>
      <c r="P269" s="726"/>
      <c r="T269" s="726"/>
      <c r="X269" s="726"/>
      <c r="AB269" s="726"/>
      <c r="AF269" s="726"/>
      <c r="AG269" s="726"/>
      <c r="AK269" s="726"/>
    </row>
    <row r="270" spans="4:37" x14ac:dyDescent="0.3">
      <c r="D270" s="726"/>
      <c r="H270" s="726"/>
      <c r="L270" s="726"/>
      <c r="P270" s="726"/>
      <c r="T270" s="726"/>
      <c r="X270" s="726"/>
      <c r="AB270" s="726"/>
      <c r="AF270" s="726"/>
      <c r="AG270" s="726"/>
      <c r="AK270" s="726"/>
    </row>
    <row r="271" spans="4:37" x14ac:dyDescent="0.3">
      <c r="D271" s="726"/>
      <c r="H271" s="726"/>
      <c r="L271" s="726"/>
      <c r="P271" s="726"/>
      <c r="T271" s="726"/>
      <c r="X271" s="726"/>
      <c r="AB271" s="726"/>
      <c r="AF271" s="726"/>
      <c r="AG271" s="726"/>
      <c r="AK271" s="726"/>
    </row>
    <row r="272" spans="4:37" x14ac:dyDescent="0.3">
      <c r="D272" s="726"/>
      <c r="H272" s="726"/>
      <c r="L272" s="726"/>
      <c r="P272" s="726"/>
      <c r="T272" s="726"/>
      <c r="X272" s="726"/>
      <c r="AB272" s="726"/>
      <c r="AF272" s="726"/>
      <c r="AG272" s="726"/>
      <c r="AK272" s="726"/>
    </row>
    <row r="273" spans="4:37" x14ac:dyDescent="0.3">
      <c r="D273" s="726"/>
      <c r="H273" s="726"/>
      <c r="L273" s="726"/>
      <c r="P273" s="726"/>
      <c r="T273" s="726"/>
      <c r="X273" s="726"/>
      <c r="AB273" s="726"/>
      <c r="AF273" s="726"/>
      <c r="AG273" s="726"/>
      <c r="AK273" s="726"/>
    </row>
    <row r="274" spans="4:37" x14ac:dyDescent="0.3">
      <c r="D274" s="726"/>
      <c r="H274" s="726"/>
      <c r="L274" s="726"/>
      <c r="P274" s="726"/>
      <c r="T274" s="726"/>
      <c r="X274" s="726"/>
      <c r="AB274" s="726"/>
      <c r="AF274" s="726"/>
      <c r="AG274" s="726"/>
      <c r="AK274" s="726"/>
    </row>
    <row r="275" spans="4:37" x14ac:dyDescent="0.3">
      <c r="D275" s="726"/>
      <c r="H275" s="726"/>
      <c r="L275" s="726"/>
      <c r="P275" s="726"/>
      <c r="T275" s="726"/>
      <c r="X275" s="726"/>
      <c r="AB275" s="726"/>
      <c r="AF275" s="726"/>
      <c r="AG275" s="726"/>
      <c r="AK275" s="726"/>
    </row>
    <row r="276" spans="4:37" x14ac:dyDescent="0.3">
      <c r="D276" s="726"/>
      <c r="H276" s="726"/>
      <c r="L276" s="726"/>
      <c r="P276" s="726"/>
      <c r="T276" s="726"/>
      <c r="X276" s="726"/>
      <c r="AB276" s="726"/>
      <c r="AF276" s="726"/>
      <c r="AG276" s="726"/>
      <c r="AK276" s="726"/>
    </row>
    <row r="277" spans="4:37" x14ac:dyDescent="0.3">
      <c r="D277" s="726"/>
      <c r="H277" s="726"/>
      <c r="L277" s="726"/>
      <c r="P277" s="726"/>
      <c r="T277" s="726"/>
      <c r="X277" s="726"/>
      <c r="AB277" s="726"/>
      <c r="AF277" s="726"/>
      <c r="AG277" s="726"/>
      <c r="AK277" s="726"/>
    </row>
    <row r="278" spans="4:37" x14ac:dyDescent="0.3">
      <c r="D278" s="726"/>
      <c r="H278" s="726"/>
      <c r="L278" s="726"/>
      <c r="P278" s="726"/>
      <c r="T278" s="726"/>
      <c r="X278" s="726"/>
      <c r="AB278" s="726"/>
      <c r="AF278" s="726"/>
      <c r="AG278" s="726"/>
      <c r="AK278" s="726"/>
    </row>
    <row r="279" spans="4:37" x14ac:dyDescent="0.3">
      <c r="D279" s="726"/>
      <c r="H279" s="726"/>
      <c r="L279" s="726"/>
      <c r="P279" s="726"/>
      <c r="T279" s="726"/>
      <c r="X279" s="726"/>
      <c r="AB279" s="726"/>
      <c r="AF279" s="726"/>
      <c r="AG279" s="726"/>
      <c r="AK279" s="726"/>
    </row>
    <row r="280" spans="4:37" x14ac:dyDescent="0.3">
      <c r="D280" s="726"/>
      <c r="H280" s="726"/>
      <c r="L280" s="726"/>
      <c r="P280" s="726"/>
      <c r="T280" s="726"/>
      <c r="X280" s="726"/>
      <c r="AB280" s="726"/>
      <c r="AF280" s="726"/>
      <c r="AG280" s="726"/>
      <c r="AK280" s="726"/>
    </row>
    <row r="281" spans="4:37" x14ac:dyDescent="0.3">
      <c r="D281" s="726"/>
      <c r="H281" s="726"/>
      <c r="L281" s="726"/>
      <c r="P281" s="726"/>
      <c r="T281" s="726"/>
      <c r="X281" s="726"/>
      <c r="AB281" s="726"/>
      <c r="AF281" s="726"/>
      <c r="AG281" s="726"/>
      <c r="AK281" s="726"/>
    </row>
    <row r="282" spans="4:37" x14ac:dyDescent="0.3">
      <c r="D282" s="726"/>
      <c r="H282" s="726"/>
      <c r="L282" s="726"/>
      <c r="P282" s="726"/>
      <c r="T282" s="726"/>
      <c r="X282" s="726"/>
      <c r="AB282" s="726"/>
      <c r="AF282" s="726"/>
      <c r="AG282" s="726"/>
      <c r="AK282" s="726"/>
    </row>
    <row r="283" spans="4:37" x14ac:dyDescent="0.3">
      <c r="D283" s="726"/>
      <c r="H283" s="726"/>
      <c r="L283" s="726"/>
      <c r="P283" s="726"/>
      <c r="T283" s="726"/>
      <c r="X283" s="726"/>
      <c r="AB283" s="726"/>
      <c r="AF283" s="726"/>
      <c r="AG283" s="726"/>
      <c r="AK283" s="726"/>
    </row>
    <row r="284" spans="4:37" x14ac:dyDescent="0.3">
      <c r="D284" s="726"/>
      <c r="H284" s="726"/>
      <c r="L284" s="726"/>
      <c r="P284" s="726"/>
      <c r="T284" s="726"/>
      <c r="X284" s="726"/>
      <c r="AB284" s="726"/>
      <c r="AF284" s="726"/>
      <c r="AG284" s="726"/>
      <c r="AK284" s="726"/>
    </row>
    <row r="285" spans="4:37" x14ac:dyDescent="0.3">
      <c r="D285" s="726"/>
      <c r="H285" s="726"/>
      <c r="L285" s="726"/>
      <c r="P285" s="726"/>
      <c r="T285" s="726"/>
      <c r="X285" s="726"/>
      <c r="AB285" s="726"/>
      <c r="AF285" s="726"/>
      <c r="AG285" s="726"/>
      <c r="AK285" s="726"/>
    </row>
    <row r="286" spans="4:37" x14ac:dyDescent="0.3">
      <c r="D286" s="726"/>
      <c r="H286" s="726"/>
      <c r="L286" s="726"/>
      <c r="P286" s="726"/>
      <c r="T286" s="726"/>
      <c r="X286" s="726"/>
      <c r="AB286" s="726"/>
      <c r="AF286" s="726"/>
      <c r="AG286" s="726"/>
      <c r="AK286" s="726"/>
    </row>
    <row r="287" spans="4:37" x14ac:dyDescent="0.3">
      <c r="D287" s="726"/>
      <c r="H287" s="726"/>
      <c r="L287" s="726"/>
      <c r="P287" s="726"/>
      <c r="T287" s="726"/>
      <c r="X287" s="726"/>
      <c r="AB287" s="726"/>
      <c r="AF287" s="726"/>
      <c r="AG287" s="726"/>
      <c r="AK287" s="726"/>
    </row>
    <row r="288" spans="4:37" x14ac:dyDescent="0.3">
      <c r="D288" s="726"/>
      <c r="H288" s="726"/>
      <c r="L288" s="726"/>
      <c r="P288" s="726"/>
      <c r="T288" s="726"/>
      <c r="X288" s="726"/>
      <c r="AB288" s="726"/>
      <c r="AF288" s="726"/>
      <c r="AG288" s="726"/>
      <c r="AK288" s="726"/>
    </row>
    <row r="289" spans="4:37" x14ac:dyDescent="0.3">
      <c r="D289" s="726"/>
      <c r="H289" s="726"/>
      <c r="L289" s="726"/>
      <c r="P289" s="726"/>
      <c r="T289" s="726"/>
      <c r="X289" s="726"/>
      <c r="AB289" s="726"/>
      <c r="AF289" s="726"/>
      <c r="AG289" s="726"/>
      <c r="AK289" s="726"/>
    </row>
    <row r="290" spans="4:37" x14ac:dyDescent="0.3">
      <c r="D290" s="726"/>
      <c r="H290" s="726"/>
      <c r="L290" s="726"/>
      <c r="P290" s="726"/>
      <c r="T290" s="726"/>
      <c r="X290" s="726"/>
      <c r="AB290" s="726"/>
      <c r="AF290" s="726"/>
      <c r="AG290" s="726"/>
      <c r="AK290" s="726"/>
    </row>
    <row r="291" spans="4:37" x14ac:dyDescent="0.3">
      <c r="D291" s="726"/>
      <c r="H291" s="726"/>
      <c r="L291" s="726"/>
      <c r="P291" s="726"/>
      <c r="T291" s="726"/>
      <c r="X291" s="726"/>
      <c r="AB291" s="726"/>
      <c r="AF291" s="726"/>
      <c r="AG291" s="726"/>
      <c r="AK291" s="726"/>
    </row>
    <row r="292" spans="4:37" x14ac:dyDescent="0.3">
      <c r="D292" s="726"/>
      <c r="H292" s="726"/>
      <c r="L292" s="726"/>
      <c r="P292" s="726"/>
      <c r="T292" s="726"/>
      <c r="X292" s="726"/>
      <c r="AB292" s="726"/>
      <c r="AF292" s="726"/>
      <c r="AG292" s="726"/>
      <c r="AK292" s="726"/>
    </row>
    <row r="293" spans="4:37" x14ac:dyDescent="0.3">
      <c r="D293" s="726"/>
      <c r="H293" s="726"/>
      <c r="L293" s="726"/>
      <c r="P293" s="726"/>
      <c r="T293" s="726"/>
      <c r="X293" s="726"/>
      <c r="AB293" s="726"/>
      <c r="AF293" s="726"/>
      <c r="AG293" s="726"/>
      <c r="AK293" s="726"/>
    </row>
    <row r="294" spans="4:37" x14ac:dyDescent="0.3">
      <c r="D294" s="726"/>
      <c r="H294" s="726"/>
      <c r="L294" s="726"/>
      <c r="P294" s="726"/>
      <c r="T294" s="726"/>
      <c r="X294" s="726"/>
      <c r="AB294" s="726"/>
      <c r="AF294" s="726"/>
      <c r="AG294" s="726"/>
      <c r="AK294" s="726"/>
    </row>
    <row r="295" spans="4:37" x14ac:dyDescent="0.3">
      <c r="D295" s="726"/>
      <c r="H295" s="726"/>
      <c r="L295" s="726"/>
      <c r="P295" s="726"/>
      <c r="T295" s="726"/>
      <c r="X295" s="726"/>
      <c r="AB295" s="726"/>
      <c r="AF295" s="726"/>
      <c r="AG295" s="726"/>
      <c r="AK295" s="726"/>
    </row>
    <row r="296" spans="4:37" x14ac:dyDescent="0.3">
      <c r="D296" s="726"/>
      <c r="H296" s="726"/>
      <c r="L296" s="726"/>
      <c r="P296" s="726"/>
      <c r="T296" s="726"/>
      <c r="X296" s="726"/>
      <c r="AB296" s="726"/>
      <c r="AF296" s="726"/>
      <c r="AG296" s="726"/>
      <c r="AK296" s="726"/>
    </row>
    <row r="297" spans="4:37" x14ac:dyDescent="0.3">
      <c r="D297" s="726"/>
      <c r="H297" s="726"/>
      <c r="L297" s="726"/>
      <c r="P297" s="726"/>
      <c r="T297" s="726"/>
      <c r="X297" s="726"/>
      <c r="AB297" s="726"/>
      <c r="AF297" s="726"/>
      <c r="AG297" s="726"/>
      <c r="AK297" s="726"/>
    </row>
    <row r="298" spans="4:37" x14ac:dyDescent="0.3">
      <c r="D298" s="726"/>
      <c r="H298" s="726"/>
      <c r="L298" s="726"/>
      <c r="P298" s="726"/>
      <c r="T298" s="726"/>
      <c r="X298" s="726"/>
      <c r="AB298" s="726"/>
      <c r="AF298" s="726"/>
      <c r="AG298" s="726"/>
      <c r="AK298" s="726"/>
    </row>
    <row r="299" spans="4:37" x14ac:dyDescent="0.3">
      <c r="D299" s="726"/>
      <c r="H299" s="726"/>
      <c r="L299" s="726"/>
      <c r="P299" s="726"/>
      <c r="T299" s="726"/>
      <c r="X299" s="726"/>
      <c r="AB299" s="726"/>
      <c r="AF299" s="726"/>
      <c r="AG299" s="726"/>
      <c r="AK299" s="726"/>
    </row>
    <row r="300" spans="4:37" x14ac:dyDescent="0.3">
      <c r="D300" s="726"/>
      <c r="H300" s="726"/>
      <c r="L300" s="726"/>
      <c r="P300" s="726"/>
      <c r="T300" s="726"/>
      <c r="X300" s="726"/>
      <c r="AB300" s="726"/>
      <c r="AF300" s="726"/>
      <c r="AG300" s="726"/>
      <c r="AK300" s="726"/>
    </row>
    <row r="301" spans="4:37" x14ac:dyDescent="0.3">
      <c r="D301" s="726"/>
      <c r="H301" s="726"/>
      <c r="L301" s="726"/>
      <c r="P301" s="726"/>
      <c r="T301" s="726"/>
      <c r="X301" s="726"/>
      <c r="AB301" s="726"/>
      <c r="AF301" s="726"/>
      <c r="AG301" s="726"/>
      <c r="AK301" s="726"/>
    </row>
    <row r="302" spans="4:37" x14ac:dyDescent="0.3">
      <c r="D302" s="726"/>
      <c r="H302" s="726"/>
      <c r="L302" s="726"/>
      <c r="P302" s="726"/>
      <c r="T302" s="726"/>
      <c r="X302" s="726"/>
      <c r="AB302" s="726"/>
      <c r="AF302" s="726"/>
      <c r="AG302" s="726"/>
      <c r="AK302" s="726"/>
    </row>
    <row r="303" spans="4:37" x14ac:dyDescent="0.3">
      <c r="D303" s="726"/>
      <c r="H303" s="726"/>
      <c r="L303" s="726"/>
      <c r="P303" s="726"/>
      <c r="T303" s="726"/>
      <c r="X303" s="726"/>
      <c r="AB303" s="726"/>
      <c r="AF303" s="726"/>
      <c r="AG303" s="726"/>
      <c r="AK303" s="726"/>
    </row>
    <row r="304" spans="4:37" x14ac:dyDescent="0.3">
      <c r="D304" s="726"/>
      <c r="H304" s="726"/>
      <c r="L304" s="726"/>
      <c r="P304" s="726"/>
      <c r="T304" s="726"/>
      <c r="X304" s="726"/>
      <c r="AB304" s="726"/>
      <c r="AF304" s="726"/>
      <c r="AG304" s="726"/>
      <c r="AK304" s="726"/>
    </row>
    <row r="305" spans="4:37" x14ac:dyDescent="0.3">
      <c r="D305" s="726"/>
      <c r="H305" s="726"/>
      <c r="L305" s="726"/>
      <c r="P305" s="726"/>
      <c r="T305" s="726"/>
      <c r="X305" s="726"/>
      <c r="AB305" s="726"/>
      <c r="AF305" s="726"/>
      <c r="AG305" s="726"/>
      <c r="AK305" s="726"/>
    </row>
    <row r="306" spans="4:37" x14ac:dyDescent="0.3">
      <c r="D306" s="726"/>
      <c r="H306" s="726"/>
      <c r="L306" s="726"/>
      <c r="P306" s="726"/>
      <c r="T306" s="726"/>
      <c r="X306" s="726"/>
      <c r="AB306" s="726"/>
      <c r="AF306" s="726"/>
      <c r="AG306" s="726"/>
      <c r="AK306" s="726"/>
    </row>
    <row r="307" spans="4:37" x14ac:dyDescent="0.3">
      <c r="D307" s="726"/>
      <c r="H307" s="726"/>
      <c r="L307" s="726"/>
      <c r="P307" s="726"/>
      <c r="T307" s="726"/>
      <c r="X307" s="726"/>
      <c r="AB307" s="726"/>
      <c r="AF307" s="726"/>
      <c r="AG307" s="726"/>
      <c r="AK307" s="726"/>
    </row>
    <row r="308" spans="4:37" x14ac:dyDescent="0.3">
      <c r="D308" s="726"/>
      <c r="H308" s="726"/>
      <c r="L308" s="726"/>
      <c r="P308" s="726"/>
      <c r="T308" s="726"/>
      <c r="X308" s="726"/>
      <c r="AB308" s="726"/>
      <c r="AF308" s="726"/>
      <c r="AG308" s="726"/>
      <c r="AK308" s="726"/>
    </row>
    <row r="309" spans="4:37" x14ac:dyDescent="0.3">
      <c r="D309" s="726"/>
      <c r="H309" s="726"/>
      <c r="L309" s="726"/>
      <c r="P309" s="726"/>
      <c r="T309" s="726"/>
      <c r="X309" s="726"/>
      <c r="AB309" s="726"/>
      <c r="AF309" s="726"/>
      <c r="AG309" s="726"/>
      <c r="AK309" s="726"/>
    </row>
    <row r="310" spans="4:37" x14ac:dyDescent="0.3">
      <c r="D310" s="726"/>
      <c r="H310" s="726"/>
      <c r="L310" s="726"/>
      <c r="P310" s="726"/>
      <c r="T310" s="726"/>
      <c r="X310" s="726"/>
      <c r="AB310" s="726"/>
      <c r="AF310" s="726"/>
      <c r="AG310" s="726"/>
      <c r="AK310" s="726"/>
    </row>
    <row r="311" spans="4:37" x14ac:dyDescent="0.3">
      <c r="D311" s="726"/>
      <c r="H311" s="726"/>
      <c r="L311" s="726"/>
      <c r="P311" s="726"/>
      <c r="T311" s="726"/>
      <c r="X311" s="726"/>
      <c r="AB311" s="726"/>
      <c r="AF311" s="726"/>
      <c r="AG311" s="726"/>
      <c r="AK311" s="726"/>
    </row>
    <row r="312" spans="4:37" x14ac:dyDescent="0.3">
      <c r="D312" s="726"/>
      <c r="H312" s="726"/>
      <c r="L312" s="726"/>
      <c r="P312" s="726"/>
      <c r="T312" s="726"/>
      <c r="X312" s="726"/>
      <c r="AB312" s="726"/>
      <c r="AF312" s="726"/>
      <c r="AG312" s="726"/>
      <c r="AK312" s="726"/>
    </row>
    <row r="313" spans="4:37" x14ac:dyDescent="0.3">
      <c r="D313" s="726"/>
      <c r="H313" s="726"/>
      <c r="L313" s="726"/>
      <c r="P313" s="726"/>
      <c r="T313" s="726"/>
      <c r="X313" s="726"/>
      <c r="AB313" s="726"/>
      <c r="AF313" s="726"/>
      <c r="AG313" s="726"/>
      <c r="AK313" s="726"/>
    </row>
    <row r="314" spans="4:37" x14ac:dyDescent="0.3">
      <c r="D314" s="726"/>
      <c r="H314" s="726"/>
      <c r="L314" s="726"/>
      <c r="P314" s="726"/>
      <c r="T314" s="726"/>
      <c r="X314" s="726"/>
      <c r="AB314" s="726"/>
      <c r="AF314" s="726"/>
      <c r="AG314" s="726"/>
      <c r="AK314" s="726"/>
    </row>
    <row r="315" spans="4:37" x14ac:dyDescent="0.3">
      <c r="D315" s="726"/>
      <c r="H315" s="726"/>
      <c r="L315" s="726"/>
      <c r="P315" s="726"/>
      <c r="T315" s="726"/>
      <c r="X315" s="726"/>
      <c r="AB315" s="726"/>
      <c r="AF315" s="726"/>
      <c r="AG315" s="726"/>
      <c r="AK315" s="726"/>
    </row>
    <row r="316" spans="4:37" x14ac:dyDescent="0.3">
      <c r="D316" s="726"/>
      <c r="H316" s="726"/>
      <c r="L316" s="726"/>
      <c r="P316" s="726"/>
      <c r="T316" s="726"/>
      <c r="X316" s="726"/>
      <c r="AB316" s="726"/>
      <c r="AF316" s="726"/>
      <c r="AG316" s="726"/>
      <c r="AK316" s="726"/>
    </row>
    <row r="317" spans="4:37" x14ac:dyDescent="0.3">
      <c r="D317" s="726"/>
      <c r="H317" s="726"/>
      <c r="L317" s="726"/>
      <c r="P317" s="726"/>
      <c r="T317" s="726"/>
      <c r="X317" s="726"/>
      <c r="AB317" s="726"/>
      <c r="AF317" s="726"/>
      <c r="AG317" s="726"/>
      <c r="AK317" s="726"/>
    </row>
    <row r="318" spans="4:37" x14ac:dyDescent="0.3">
      <c r="D318" s="726"/>
      <c r="H318" s="726"/>
      <c r="L318" s="726"/>
      <c r="P318" s="726"/>
      <c r="T318" s="726"/>
      <c r="X318" s="726"/>
      <c r="AB318" s="726"/>
      <c r="AF318" s="726"/>
      <c r="AG318" s="726"/>
      <c r="AK318" s="726"/>
    </row>
    <row r="319" spans="4:37" x14ac:dyDescent="0.3">
      <c r="D319" s="726"/>
      <c r="H319" s="726"/>
      <c r="L319" s="726"/>
      <c r="P319" s="726"/>
      <c r="T319" s="726"/>
      <c r="X319" s="726"/>
      <c r="AB319" s="726"/>
      <c r="AF319" s="726"/>
      <c r="AG319" s="726"/>
      <c r="AK319" s="726"/>
    </row>
    <row r="320" spans="4:37" x14ac:dyDescent="0.3">
      <c r="D320" s="726"/>
      <c r="H320" s="726"/>
      <c r="L320" s="726"/>
      <c r="P320" s="726"/>
      <c r="T320" s="726"/>
      <c r="X320" s="726"/>
      <c r="AB320" s="726"/>
      <c r="AF320" s="726"/>
      <c r="AG320" s="726"/>
      <c r="AK320" s="726"/>
    </row>
    <row r="321" spans="4:37" x14ac:dyDescent="0.3">
      <c r="D321" s="726"/>
      <c r="H321" s="726"/>
      <c r="L321" s="726"/>
      <c r="P321" s="726"/>
      <c r="T321" s="726"/>
      <c r="X321" s="726"/>
      <c r="AB321" s="726"/>
      <c r="AF321" s="726"/>
      <c r="AG321" s="726"/>
      <c r="AK321" s="726"/>
    </row>
    <row r="322" spans="4:37" x14ac:dyDescent="0.3">
      <c r="D322" s="726"/>
      <c r="H322" s="726"/>
      <c r="L322" s="726"/>
      <c r="P322" s="726"/>
      <c r="T322" s="726"/>
      <c r="X322" s="726"/>
      <c r="AB322" s="726"/>
      <c r="AF322" s="726"/>
      <c r="AG322" s="726"/>
      <c r="AK322" s="726"/>
    </row>
    <row r="323" spans="4:37" x14ac:dyDescent="0.3">
      <c r="D323" s="726"/>
      <c r="H323" s="726"/>
      <c r="L323" s="726"/>
      <c r="P323" s="726"/>
      <c r="T323" s="726"/>
      <c r="X323" s="726"/>
      <c r="AB323" s="726"/>
      <c r="AF323" s="726"/>
      <c r="AG323" s="726"/>
      <c r="AK323" s="726"/>
    </row>
    <row r="324" spans="4:37" x14ac:dyDescent="0.3">
      <c r="D324" s="726"/>
      <c r="H324" s="726"/>
      <c r="L324" s="726"/>
      <c r="P324" s="726"/>
      <c r="T324" s="726"/>
      <c r="X324" s="726"/>
      <c r="AB324" s="726"/>
      <c r="AF324" s="726"/>
      <c r="AG324" s="726"/>
      <c r="AK324" s="726"/>
    </row>
    <row r="325" spans="4:37" x14ac:dyDescent="0.3">
      <c r="D325" s="726"/>
      <c r="H325" s="726"/>
      <c r="L325" s="726"/>
      <c r="P325" s="726"/>
      <c r="T325" s="726"/>
      <c r="X325" s="726"/>
      <c r="AB325" s="726"/>
      <c r="AF325" s="726"/>
      <c r="AG325" s="726"/>
      <c r="AK325" s="726"/>
    </row>
    <row r="326" spans="4:37" x14ac:dyDescent="0.3">
      <c r="D326" s="726"/>
      <c r="H326" s="726"/>
      <c r="L326" s="726"/>
      <c r="P326" s="726"/>
      <c r="T326" s="726"/>
      <c r="X326" s="726"/>
      <c r="AB326" s="726"/>
      <c r="AF326" s="726"/>
      <c r="AG326" s="726"/>
      <c r="AK326" s="726"/>
    </row>
    <row r="327" spans="4:37" x14ac:dyDescent="0.3">
      <c r="D327" s="726"/>
      <c r="H327" s="726"/>
      <c r="L327" s="726"/>
      <c r="P327" s="726"/>
      <c r="T327" s="726"/>
      <c r="X327" s="726"/>
      <c r="AB327" s="726"/>
      <c r="AF327" s="726"/>
      <c r="AG327" s="726"/>
      <c r="AK327" s="726"/>
    </row>
    <row r="328" spans="4:37" x14ac:dyDescent="0.3">
      <c r="D328" s="726"/>
      <c r="H328" s="726"/>
      <c r="L328" s="726"/>
      <c r="P328" s="726"/>
      <c r="T328" s="726"/>
      <c r="X328" s="726"/>
      <c r="AB328" s="726"/>
      <c r="AF328" s="726"/>
      <c r="AG328" s="726"/>
      <c r="AK328" s="726"/>
    </row>
    <row r="329" spans="4:37" x14ac:dyDescent="0.3">
      <c r="D329" s="726"/>
      <c r="H329" s="726"/>
      <c r="L329" s="726"/>
      <c r="P329" s="726"/>
      <c r="T329" s="726"/>
      <c r="X329" s="726"/>
      <c r="AB329" s="726"/>
      <c r="AF329" s="726"/>
      <c r="AG329" s="726"/>
      <c r="AK329" s="726"/>
    </row>
    <row r="330" spans="4:37" x14ac:dyDescent="0.3">
      <c r="D330" s="726"/>
      <c r="H330" s="726"/>
      <c r="L330" s="726"/>
      <c r="P330" s="726"/>
      <c r="T330" s="726"/>
      <c r="X330" s="726"/>
      <c r="AB330" s="726"/>
      <c r="AF330" s="726"/>
      <c r="AG330" s="726"/>
      <c r="AK330" s="726"/>
    </row>
    <row r="331" spans="4:37" x14ac:dyDescent="0.3">
      <c r="D331" s="726"/>
      <c r="H331" s="726"/>
      <c r="L331" s="726"/>
      <c r="P331" s="726"/>
      <c r="T331" s="726"/>
      <c r="X331" s="726"/>
      <c r="AB331" s="726"/>
      <c r="AF331" s="726"/>
      <c r="AG331" s="726"/>
      <c r="AK331" s="726"/>
    </row>
    <row r="332" spans="4:37" x14ac:dyDescent="0.3">
      <c r="D332" s="726"/>
      <c r="H332" s="726"/>
      <c r="L332" s="726"/>
      <c r="P332" s="726"/>
      <c r="T332" s="726"/>
      <c r="X332" s="726"/>
      <c r="AB332" s="726"/>
      <c r="AF332" s="726"/>
      <c r="AG332" s="726"/>
      <c r="AK332" s="726"/>
    </row>
    <row r="333" spans="4:37" x14ac:dyDescent="0.3">
      <c r="D333" s="726"/>
      <c r="H333" s="726"/>
      <c r="L333" s="726"/>
      <c r="P333" s="726"/>
      <c r="T333" s="726"/>
      <c r="X333" s="726"/>
      <c r="AB333" s="726"/>
      <c r="AF333" s="726"/>
      <c r="AG333" s="726"/>
      <c r="AK333" s="726"/>
    </row>
    <row r="334" spans="4:37" x14ac:dyDescent="0.3">
      <c r="D334" s="726"/>
      <c r="H334" s="726"/>
      <c r="L334" s="726"/>
      <c r="P334" s="726"/>
      <c r="T334" s="726"/>
      <c r="X334" s="726"/>
      <c r="AB334" s="726"/>
      <c r="AF334" s="726"/>
      <c r="AG334" s="726"/>
      <c r="AK334" s="726"/>
    </row>
    <row r="335" spans="4:37" x14ac:dyDescent="0.3">
      <c r="D335" s="726"/>
      <c r="H335" s="726"/>
      <c r="L335" s="726"/>
      <c r="P335" s="726"/>
      <c r="T335" s="726"/>
      <c r="X335" s="726"/>
      <c r="AB335" s="726"/>
      <c r="AF335" s="726"/>
      <c r="AG335" s="726"/>
      <c r="AK335" s="726"/>
    </row>
    <row r="336" spans="4:37" x14ac:dyDescent="0.3">
      <c r="D336" s="726"/>
      <c r="H336" s="726"/>
      <c r="L336" s="726"/>
      <c r="P336" s="726"/>
      <c r="T336" s="726"/>
      <c r="X336" s="726"/>
      <c r="AB336" s="726"/>
      <c r="AF336" s="726"/>
      <c r="AG336" s="726"/>
      <c r="AK336" s="726"/>
    </row>
    <row r="337" spans="4:37" x14ac:dyDescent="0.3">
      <c r="D337" s="726"/>
      <c r="H337" s="726"/>
      <c r="L337" s="726"/>
      <c r="P337" s="726"/>
      <c r="T337" s="726"/>
      <c r="X337" s="726"/>
      <c r="AB337" s="726"/>
      <c r="AF337" s="726"/>
      <c r="AG337" s="726"/>
      <c r="AK337" s="726"/>
    </row>
    <row r="338" spans="4:37" x14ac:dyDescent="0.3">
      <c r="D338" s="726"/>
      <c r="H338" s="726"/>
      <c r="L338" s="726"/>
      <c r="P338" s="726"/>
      <c r="T338" s="726"/>
      <c r="X338" s="726"/>
      <c r="AB338" s="726"/>
      <c r="AF338" s="726"/>
      <c r="AG338" s="726"/>
      <c r="AK338" s="726"/>
    </row>
    <row r="339" spans="4:37" x14ac:dyDescent="0.3">
      <c r="D339" s="726"/>
      <c r="H339" s="726"/>
      <c r="L339" s="726"/>
      <c r="P339" s="726"/>
      <c r="T339" s="726"/>
      <c r="X339" s="726"/>
      <c r="AB339" s="726"/>
      <c r="AF339" s="726"/>
      <c r="AG339" s="726"/>
      <c r="AK339" s="726"/>
    </row>
    <row r="340" spans="4:37" x14ac:dyDescent="0.3">
      <c r="D340" s="726"/>
      <c r="H340" s="726"/>
      <c r="L340" s="726"/>
      <c r="P340" s="726"/>
      <c r="T340" s="726"/>
      <c r="X340" s="726"/>
      <c r="AB340" s="726"/>
      <c r="AF340" s="726"/>
      <c r="AG340" s="726"/>
      <c r="AK340" s="726"/>
    </row>
    <row r="341" spans="4:37" x14ac:dyDescent="0.3">
      <c r="D341" s="726"/>
      <c r="H341" s="726"/>
      <c r="L341" s="726"/>
      <c r="P341" s="726"/>
      <c r="T341" s="726"/>
      <c r="X341" s="726"/>
      <c r="AB341" s="726"/>
      <c r="AF341" s="726"/>
      <c r="AG341" s="726"/>
      <c r="AK341" s="726"/>
    </row>
    <row r="342" spans="4:37" x14ac:dyDescent="0.3">
      <c r="D342" s="726"/>
      <c r="H342" s="726"/>
      <c r="L342" s="726"/>
      <c r="P342" s="726"/>
      <c r="T342" s="726"/>
      <c r="X342" s="726"/>
      <c r="AB342" s="726"/>
      <c r="AF342" s="726"/>
      <c r="AG342" s="726"/>
      <c r="AK342" s="726"/>
    </row>
    <row r="343" spans="4:37" x14ac:dyDescent="0.3">
      <c r="D343" s="726"/>
      <c r="H343" s="726"/>
      <c r="L343" s="726"/>
      <c r="P343" s="726"/>
      <c r="T343" s="726"/>
      <c r="X343" s="726"/>
      <c r="AB343" s="726"/>
      <c r="AF343" s="726"/>
      <c r="AG343" s="726"/>
      <c r="AK343" s="726"/>
    </row>
    <row r="344" spans="4:37" x14ac:dyDescent="0.3">
      <c r="D344" s="726"/>
      <c r="H344" s="726"/>
      <c r="L344" s="726"/>
      <c r="P344" s="726"/>
      <c r="T344" s="726"/>
      <c r="X344" s="726"/>
      <c r="AB344" s="726"/>
      <c r="AF344" s="726"/>
      <c r="AG344" s="726"/>
      <c r="AK344" s="726"/>
    </row>
    <row r="345" spans="4:37" x14ac:dyDescent="0.3">
      <c r="D345" s="726"/>
      <c r="H345" s="726"/>
      <c r="L345" s="726"/>
      <c r="P345" s="726"/>
      <c r="T345" s="726"/>
      <c r="X345" s="726"/>
      <c r="AB345" s="726"/>
      <c r="AF345" s="726"/>
      <c r="AG345" s="726"/>
      <c r="AK345" s="726"/>
    </row>
    <row r="346" spans="4:37" x14ac:dyDescent="0.3">
      <c r="D346" s="726"/>
      <c r="H346" s="726"/>
      <c r="L346" s="726"/>
      <c r="P346" s="726"/>
      <c r="T346" s="726"/>
      <c r="X346" s="726"/>
      <c r="AB346" s="726"/>
      <c r="AF346" s="726"/>
      <c r="AG346" s="726"/>
      <c r="AK346" s="726"/>
    </row>
    <row r="347" spans="4:37" x14ac:dyDescent="0.3">
      <c r="D347" s="726"/>
      <c r="H347" s="726"/>
      <c r="L347" s="726"/>
      <c r="P347" s="726"/>
      <c r="T347" s="726"/>
      <c r="X347" s="726"/>
      <c r="AB347" s="726"/>
      <c r="AF347" s="726"/>
      <c r="AG347" s="726"/>
      <c r="AK347" s="726"/>
    </row>
    <row r="348" spans="4:37" x14ac:dyDescent="0.3">
      <c r="D348" s="726"/>
      <c r="H348" s="726"/>
      <c r="L348" s="726"/>
      <c r="P348" s="726"/>
      <c r="T348" s="726"/>
      <c r="X348" s="726"/>
      <c r="AB348" s="726"/>
      <c r="AF348" s="726"/>
      <c r="AG348" s="726"/>
      <c r="AK348" s="726"/>
    </row>
    <row r="349" spans="4:37" x14ac:dyDescent="0.3">
      <c r="D349" s="726"/>
      <c r="H349" s="726"/>
      <c r="L349" s="726"/>
      <c r="P349" s="726"/>
      <c r="T349" s="726"/>
      <c r="X349" s="726"/>
      <c r="AB349" s="726"/>
      <c r="AF349" s="726"/>
      <c r="AG349" s="726"/>
      <c r="AK349" s="726"/>
    </row>
    <row r="350" spans="4:37" x14ac:dyDescent="0.3">
      <c r="D350" s="726"/>
      <c r="H350" s="726"/>
      <c r="L350" s="726"/>
      <c r="P350" s="726"/>
      <c r="T350" s="726"/>
      <c r="X350" s="726"/>
      <c r="AB350" s="726"/>
      <c r="AF350" s="726"/>
      <c r="AG350" s="726"/>
      <c r="AK350" s="726"/>
    </row>
    <row r="351" spans="4:37" x14ac:dyDescent="0.3">
      <c r="D351" s="726"/>
      <c r="H351" s="726"/>
      <c r="L351" s="726"/>
      <c r="P351" s="726"/>
      <c r="T351" s="726"/>
      <c r="X351" s="726"/>
      <c r="AB351" s="726"/>
      <c r="AF351" s="726"/>
      <c r="AG351" s="726"/>
      <c r="AK351" s="726"/>
    </row>
    <row r="352" spans="4:37" x14ac:dyDescent="0.3">
      <c r="D352" s="726"/>
      <c r="H352" s="726"/>
      <c r="L352" s="726"/>
      <c r="P352" s="726"/>
      <c r="T352" s="726"/>
      <c r="X352" s="726"/>
      <c r="AB352" s="726"/>
      <c r="AF352" s="726"/>
      <c r="AG352" s="726"/>
      <c r="AK352" s="726"/>
    </row>
    <row r="353" spans="4:37" x14ac:dyDescent="0.3">
      <c r="D353" s="726"/>
      <c r="H353" s="726"/>
      <c r="L353" s="726"/>
      <c r="P353" s="726"/>
      <c r="T353" s="726"/>
      <c r="X353" s="726"/>
      <c r="AB353" s="726"/>
      <c r="AF353" s="726"/>
      <c r="AG353" s="726"/>
      <c r="AK353" s="726"/>
    </row>
    <row r="354" spans="4:37" x14ac:dyDescent="0.3">
      <c r="D354" s="726"/>
      <c r="H354" s="726"/>
      <c r="L354" s="726"/>
      <c r="P354" s="726"/>
      <c r="T354" s="726"/>
      <c r="X354" s="726"/>
      <c r="AB354" s="726"/>
      <c r="AF354" s="726"/>
      <c r="AG354" s="726"/>
      <c r="AK354" s="726"/>
    </row>
    <row r="355" spans="4:37" x14ac:dyDescent="0.3">
      <c r="D355" s="726"/>
      <c r="H355" s="726"/>
      <c r="L355" s="726"/>
      <c r="P355" s="726"/>
      <c r="T355" s="726"/>
      <c r="X355" s="726"/>
      <c r="AB355" s="726"/>
      <c r="AF355" s="726"/>
      <c r="AG355" s="726"/>
      <c r="AK355" s="726"/>
    </row>
    <row r="356" spans="4:37" x14ac:dyDescent="0.3">
      <c r="D356" s="726"/>
      <c r="H356" s="726"/>
      <c r="L356" s="726"/>
      <c r="P356" s="726"/>
      <c r="T356" s="726"/>
      <c r="X356" s="726"/>
      <c r="AB356" s="726"/>
      <c r="AF356" s="726"/>
      <c r="AG356" s="726"/>
      <c r="AK356" s="726"/>
    </row>
    <row r="357" spans="4:37" x14ac:dyDescent="0.3">
      <c r="D357" s="726"/>
      <c r="H357" s="726"/>
      <c r="L357" s="726"/>
      <c r="P357" s="726"/>
      <c r="T357" s="726"/>
      <c r="X357" s="726"/>
      <c r="AB357" s="726"/>
      <c r="AF357" s="726"/>
      <c r="AG357" s="726"/>
      <c r="AK357" s="726"/>
    </row>
    <row r="358" spans="4:37" x14ac:dyDescent="0.3">
      <c r="D358" s="726"/>
      <c r="H358" s="726"/>
      <c r="L358" s="726"/>
      <c r="P358" s="726"/>
      <c r="T358" s="726"/>
      <c r="X358" s="726"/>
      <c r="AB358" s="726"/>
      <c r="AF358" s="726"/>
      <c r="AG358" s="726"/>
      <c r="AK358" s="726"/>
    </row>
    <row r="359" spans="4:37" x14ac:dyDescent="0.3">
      <c r="D359" s="726"/>
      <c r="H359" s="726"/>
      <c r="L359" s="726"/>
      <c r="P359" s="726"/>
      <c r="T359" s="726"/>
      <c r="X359" s="726"/>
      <c r="AB359" s="726"/>
      <c r="AF359" s="726"/>
      <c r="AG359" s="726"/>
      <c r="AK359" s="726"/>
    </row>
    <row r="360" spans="4:37" x14ac:dyDescent="0.3">
      <c r="D360" s="726"/>
      <c r="H360" s="726"/>
      <c r="L360" s="726"/>
      <c r="P360" s="726"/>
      <c r="T360" s="726"/>
      <c r="X360" s="726"/>
      <c r="AB360" s="726"/>
      <c r="AF360" s="726"/>
      <c r="AG360" s="726"/>
      <c r="AK360" s="726"/>
    </row>
    <row r="361" spans="4:37" x14ac:dyDescent="0.3">
      <c r="D361" s="726"/>
      <c r="H361" s="726"/>
      <c r="L361" s="726"/>
      <c r="P361" s="726"/>
      <c r="T361" s="726"/>
      <c r="X361" s="726"/>
      <c r="AB361" s="726"/>
      <c r="AF361" s="726"/>
      <c r="AG361" s="726"/>
      <c r="AK361" s="726"/>
    </row>
    <row r="362" spans="4:37" x14ac:dyDescent="0.3">
      <c r="D362" s="726"/>
      <c r="H362" s="726"/>
      <c r="L362" s="726"/>
      <c r="P362" s="726"/>
      <c r="T362" s="726"/>
      <c r="X362" s="726"/>
      <c r="AB362" s="726"/>
      <c r="AF362" s="726"/>
      <c r="AG362" s="726"/>
      <c r="AK362" s="726"/>
    </row>
    <row r="363" spans="4:37" x14ac:dyDescent="0.3">
      <c r="D363" s="726"/>
      <c r="H363" s="726"/>
      <c r="L363" s="726"/>
      <c r="P363" s="726"/>
      <c r="T363" s="726"/>
      <c r="X363" s="726"/>
      <c r="AB363" s="726"/>
      <c r="AF363" s="726"/>
      <c r="AG363" s="726"/>
      <c r="AK363" s="726"/>
    </row>
    <row r="364" spans="4:37" x14ac:dyDescent="0.3">
      <c r="D364" s="726"/>
      <c r="H364" s="726"/>
      <c r="L364" s="726"/>
      <c r="P364" s="726"/>
      <c r="T364" s="726"/>
      <c r="X364" s="726"/>
      <c r="AB364" s="726"/>
      <c r="AF364" s="726"/>
      <c r="AG364" s="726"/>
      <c r="AK364" s="726"/>
    </row>
    <row r="365" spans="4:37" x14ac:dyDescent="0.3">
      <c r="D365" s="726"/>
      <c r="H365" s="726"/>
      <c r="L365" s="726"/>
      <c r="P365" s="726"/>
      <c r="T365" s="726"/>
      <c r="X365" s="726"/>
      <c r="AB365" s="726"/>
      <c r="AF365" s="726"/>
      <c r="AG365" s="726"/>
      <c r="AK365" s="726"/>
    </row>
    <row r="366" spans="4:37" x14ac:dyDescent="0.3">
      <c r="D366" s="726"/>
      <c r="H366" s="726"/>
      <c r="L366" s="726"/>
      <c r="P366" s="726"/>
      <c r="T366" s="726"/>
      <c r="X366" s="726"/>
      <c r="AB366" s="726"/>
      <c r="AF366" s="726"/>
      <c r="AG366" s="726"/>
      <c r="AK366" s="726"/>
    </row>
    <row r="367" spans="4:37" x14ac:dyDescent="0.3">
      <c r="D367" s="726"/>
      <c r="H367" s="726"/>
      <c r="L367" s="726"/>
      <c r="P367" s="726"/>
      <c r="T367" s="726"/>
      <c r="X367" s="726"/>
      <c r="AB367" s="726"/>
      <c r="AF367" s="726"/>
      <c r="AG367" s="726"/>
      <c r="AK367" s="726"/>
    </row>
    <row r="368" spans="4:37" x14ac:dyDescent="0.3">
      <c r="D368" s="726"/>
      <c r="H368" s="726"/>
      <c r="L368" s="726"/>
      <c r="P368" s="726"/>
      <c r="T368" s="726"/>
      <c r="X368" s="726"/>
      <c r="AB368" s="726"/>
      <c r="AF368" s="726"/>
      <c r="AG368" s="726"/>
      <c r="AK368" s="726"/>
    </row>
    <row r="369" spans="4:37" x14ac:dyDescent="0.3">
      <c r="D369" s="726"/>
      <c r="H369" s="726"/>
      <c r="L369" s="726"/>
      <c r="P369" s="726"/>
      <c r="T369" s="726"/>
      <c r="X369" s="726"/>
      <c r="AB369" s="726"/>
      <c r="AF369" s="726"/>
      <c r="AG369" s="726"/>
      <c r="AK369" s="726"/>
    </row>
    <row r="370" spans="4:37" x14ac:dyDescent="0.3">
      <c r="D370" s="726"/>
      <c r="H370" s="726"/>
      <c r="L370" s="726"/>
      <c r="P370" s="726"/>
      <c r="T370" s="726"/>
      <c r="X370" s="726"/>
      <c r="AB370" s="726"/>
      <c r="AF370" s="726"/>
      <c r="AG370" s="726"/>
      <c r="AK370" s="726"/>
    </row>
    <row r="371" spans="4:37" x14ac:dyDescent="0.3">
      <c r="D371" s="726"/>
      <c r="H371" s="726"/>
      <c r="L371" s="726"/>
      <c r="P371" s="726"/>
      <c r="T371" s="726"/>
      <c r="X371" s="726"/>
      <c r="AB371" s="726"/>
      <c r="AF371" s="726"/>
      <c r="AG371" s="726"/>
      <c r="AK371" s="726"/>
    </row>
    <row r="372" spans="4:37" x14ac:dyDescent="0.3">
      <c r="D372" s="726"/>
      <c r="H372" s="726"/>
      <c r="L372" s="726"/>
      <c r="P372" s="726"/>
      <c r="T372" s="726"/>
      <c r="X372" s="726"/>
      <c r="AB372" s="726"/>
      <c r="AF372" s="726"/>
      <c r="AG372" s="726"/>
      <c r="AK372" s="726"/>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1" orientation="landscape" r:id="rId1"/>
  <headerFooter alignWithMargins="0">
    <oddHeader>&amp;C&amp;"-,Bold"Proposed Budget &amp; Analysis Report for FY20</oddHeader>
    <oddFooter>&amp;C&amp;D&amp;T&amp;R&amp;A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3:AR375"/>
  <sheetViews>
    <sheetView topLeftCell="B1" zoomScaleNormal="100" zoomScaleSheetLayoutView="100" workbookViewId="0">
      <selection activeCell="C15" sqref="C15"/>
    </sheetView>
  </sheetViews>
  <sheetFormatPr defaultRowHeight="13.5" x14ac:dyDescent="0.25"/>
  <cols>
    <col min="1" max="1" width="19" style="161" bestFit="1" customWidth="1"/>
    <col min="2" max="2" width="7" style="161" customWidth="1"/>
    <col min="3" max="3" width="32.7109375" style="161" customWidth="1"/>
    <col min="4" max="5" width="10.5703125" style="211" hidden="1" customWidth="1"/>
    <col min="6" max="6" width="7.5703125" style="211" hidden="1" customWidth="1"/>
    <col min="7" max="7" width="1.28515625" style="213" hidden="1" customWidth="1"/>
    <col min="8" max="9" width="10.5703125" style="211" hidden="1" customWidth="1"/>
    <col min="10" max="10" width="7.5703125" style="211" hidden="1" customWidth="1"/>
    <col min="11" max="11" width="1.28515625" style="213" hidden="1" customWidth="1"/>
    <col min="12" max="13" width="10.5703125" style="211" hidden="1" customWidth="1"/>
    <col min="14" max="14" width="7.5703125" style="211" hidden="1" customWidth="1"/>
    <col min="15" max="15" width="1.28515625" style="213" hidden="1" customWidth="1"/>
    <col min="16" max="17" width="10.5703125" style="211" hidden="1" customWidth="1"/>
    <col min="18" max="18" width="7.5703125" style="211" hidden="1" customWidth="1"/>
    <col min="19" max="19" width="1.28515625" style="213" hidden="1" customWidth="1"/>
    <col min="20" max="21" width="10.5703125" style="161" hidden="1" customWidth="1"/>
    <col min="22" max="22" width="7.5703125" style="161" hidden="1" customWidth="1"/>
    <col min="23" max="23" width="1.28515625" style="103" hidden="1" customWidth="1"/>
    <col min="24" max="25" width="10.5703125" style="161" hidden="1" customWidth="1"/>
    <col min="26" max="26" width="8" style="161" hidden="1" customWidth="1"/>
    <col min="27" max="27" width="1.28515625" style="103" hidden="1" customWidth="1"/>
    <col min="28" max="29" width="13.5703125" style="161" customWidth="1"/>
    <col min="30" max="30" width="8.28515625" style="161" bestFit="1" customWidth="1"/>
    <col min="31" max="31" width="3.140625" style="213" customWidth="1"/>
    <col min="32" max="32" width="10.5703125" style="211" hidden="1" customWidth="1"/>
    <col min="33" max="33" width="13.85546875" style="211" customWidth="1"/>
    <col min="34" max="34" width="13.7109375" style="211" customWidth="1"/>
    <col min="35" max="35" width="8.28515625" style="211" bestFit="1" customWidth="1"/>
    <col min="36" max="36" width="3.85546875" style="161" customWidth="1"/>
    <col min="37" max="37" width="13.7109375" style="394" customWidth="1"/>
    <col min="38" max="38" width="14" style="394" customWidth="1"/>
    <col min="39" max="39" width="8.28515625" style="394" bestFit="1" customWidth="1"/>
    <col min="40" max="40" width="1.85546875" style="394" customWidth="1"/>
    <col min="41" max="41" width="13.5703125" style="104" customWidth="1"/>
    <col min="42" max="42" width="11" style="104" customWidth="1"/>
    <col min="43" max="43" width="12.7109375" style="161" customWidth="1"/>
    <col min="44" max="44" width="31.42578125" style="161" customWidth="1"/>
    <col min="45" max="16384" width="9.140625" style="161"/>
  </cols>
  <sheetData>
    <row r="3" spans="1:44" s="202" customFormat="1" ht="12.75" x14ac:dyDescent="0.2">
      <c r="D3" s="802" t="s">
        <v>1366</v>
      </c>
      <c r="E3" s="803"/>
      <c r="F3" s="804"/>
      <c r="G3" s="140"/>
      <c r="H3" s="802" t="s">
        <v>1365</v>
      </c>
      <c r="I3" s="803"/>
      <c r="J3" s="804"/>
      <c r="K3" s="140"/>
      <c r="L3" s="802" t="s">
        <v>1364</v>
      </c>
      <c r="M3" s="803"/>
      <c r="N3" s="804"/>
      <c r="O3" s="140"/>
      <c r="P3" s="802" t="s">
        <v>110</v>
      </c>
      <c r="Q3" s="803"/>
      <c r="R3" s="804"/>
      <c r="S3" s="140"/>
      <c r="T3" s="802" t="s">
        <v>271</v>
      </c>
      <c r="U3" s="803"/>
      <c r="V3" s="804"/>
      <c r="W3" s="140"/>
      <c r="X3" s="802" t="s">
        <v>980</v>
      </c>
      <c r="Y3" s="803"/>
      <c r="Z3" s="804"/>
      <c r="AA3" s="140"/>
      <c r="AB3" s="802" t="s">
        <v>1124</v>
      </c>
      <c r="AC3" s="803"/>
      <c r="AD3" s="804"/>
      <c r="AE3" s="140"/>
      <c r="AF3" s="802" t="s">
        <v>1363</v>
      </c>
      <c r="AG3" s="803"/>
      <c r="AH3" s="803"/>
      <c r="AI3" s="804"/>
      <c r="AJ3" s="204"/>
      <c r="AK3" s="803" t="s">
        <v>1592</v>
      </c>
      <c r="AL3" s="803"/>
      <c r="AM3" s="804"/>
      <c r="AN3" s="438"/>
      <c r="AO3" s="805" t="s">
        <v>1593</v>
      </c>
      <c r="AP3" s="805"/>
      <c r="AQ3" s="805"/>
      <c r="AR3" s="805"/>
    </row>
    <row r="4" spans="1:44" s="211" customFormat="1" ht="42" customHeight="1" x14ac:dyDescent="0.25">
      <c r="A4" s="271"/>
      <c r="B4" s="271"/>
      <c r="C4" s="308" t="s">
        <v>1616</v>
      </c>
      <c r="D4" s="106" t="s">
        <v>98</v>
      </c>
      <c r="E4" s="106" t="s">
        <v>27</v>
      </c>
      <c r="F4" s="106" t="s">
        <v>282</v>
      </c>
      <c r="G4" s="213"/>
      <c r="H4" s="106" t="s">
        <v>98</v>
      </c>
      <c r="I4" s="106" t="s">
        <v>27</v>
      </c>
      <c r="J4" s="106" t="s">
        <v>282</v>
      </c>
      <c r="K4" s="213"/>
      <c r="L4" s="106" t="s">
        <v>98</v>
      </c>
      <c r="M4" s="106" t="s">
        <v>27</v>
      </c>
      <c r="N4" s="106" t="s">
        <v>282</v>
      </c>
      <c r="O4" s="213"/>
      <c r="P4" s="106" t="s">
        <v>98</v>
      </c>
      <c r="Q4" s="106" t="s">
        <v>27</v>
      </c>
      <c r="R4" s="106" t="s">
        <v>282</v>
      </c>
      <c r="S4" s="213"/>
      <c r="T4" s="106" t="s">
        <v>98</v>
      </c>
      <c r="U4" s="106" t="s">
        <v>27</v>
      </c>
      <c r="V4" s="106" t="s">
        <v>282</v>
      </c>
      <c r="W4" s="213"/>
      <c r="X4" s="106" t="s">
        <v>98</v>
      </c>
      <c r="Y4" s="106" t="s">
        <v>27</v>
      </c>
      <c r="Z4" s="106" t="s">
        <v>282</v>
      </c>
      <c r="AA4" s="213"/>
      <c r="AB4" s="106" t="s">
        <v>98</v>
      </c>
      <c r="AC4" s="106" t="s">
        <v>27</v>
      </c>
      <c r="AD4" s="106" t="s">
        <v>282</v>
      </c>
      <c r="AE4" s="213"/>
      <c r="AF4" s="106" t="s">
        <v>98</v>
      </c>
      <c r="AG4" s="379" t="s">
        <v>1369</v>
      </c>
      <c r="AH4" s="106" t="s">
        <v>27</v>
      </c>
      <c r="AI4" s="106" t="s">
        <v>282</v>
      </c>
      <c r="AJ4" s="106"/>
      <c r="AK4" s="106" t="s">
        <v>98</v>
      </c>
      <c r="AL4" s="439" t="s">
        <v>1714</v>
      </c>
      <c r="AM4" s="106" t="s">
        <v>282</v>
      </c>
      <c r="AN4" s="106"/>
      <c r="AO4" s="107" t="s">
        <v>274</v>
      </c>
      <c r="AP4" s="108" t="s">
        <v>107</v>
      </c>
      <c r="AQ4" s="108" t="s">
        <v>282</v>
      </c>
      <c r="AR4" s="110" t="s">
        <v>275</v>
      </c>
    </row>
    <row r="5" spans="1:44" s="211" customFormat="1" ht="17.25" customHeight="1" x14ac:dyDescent="0.25">
      <c r="A5" s="211" t="s">
        <v>272</v>
      </c>
      <c r="B5" s="214"/>
      <c r="C5" s="111" t="s">
        <v>276</v>
      </c>
      <c r="D5" s="245"/>
      <c r="E5" s="245"/>
      <c r="F5" s="216"/>
      <c r="G5" s="213"/>
      <c r="H5" s="245"/>
      <c r="I5" s="245"/>
      <c r="J5" s="216"/>
      <c r="K5" s="213"/>
      <c r="L5" s="245"/>
      <c r="M5" s="245"/>
      <c r="N5" s="216"/>
      <c r="O5" s="213"/>
      <c r="P5" s="245"/>
      <c r="Q5" s="245"/>
      <c r="R5" s="216"/>
      <c r="S5" s="213"/>
      <c r="T5" s="245"/>
      <c r="U5" s="245"/>
      <c r="V5" s="216"/>
      <c r="W5" s="213"/>
      <c r="X5" s="245"/>
      <c r="Y5" s="245"/>
      <c r="Z5" s="216"/>
      <c r="AA5" s="213"/>
      <c r="AB5" s="245"/>
      <c r="AC5" s="245"/>
      <c r="AD5" s="216"/>
      <c r="AE5" s="213"/>
      <c r="AF5" s="245"/>
      <c r="AG5" s="245"/>
      <c r="AH5" s="245"/>
      <c r="AI5" s="216"/>
      <c r="AJ5" s="216"/>
      <c r="AK5" s="398"/>
      <c r="AL5" s="398"/>
      <c r="AM5" s="396"/>
      <c r="AN5" s="396"/>
      <c r="AO5" s="163"/>
      <c r="AP5" s="212"/>
      <c r="AQ5" s="216"/>
      <c r="AR5" s="288"/>
    </row>
    <row r="6" spans="1:44" s="566" customFormat="1" ht="16.5" customHeight="1" x14ac:dyDescent="0.3">
      <c r="A6" s="566" t="s">
        <v>321</v>
      </c>
      <c r="B6" s="568" t="s">
        <v>1611</v>
      </c>
      <c r="C6" s="566" t="s">
        <v>0</v>
      </c>
      <c r="D6" s="567">
        <v>51600</v>
      </c>
      <c r="E6" s="567">
        <v>51600</v>
      </c>
      <c r="F6" s="396"/>
      <c r="G6" s="397"/>
      <c r="H6" s="567">
        <v>54830</v>
      </c>
      <c r="I6" s="567">
        <v>54830</v>
      </c>
      <c r="J6" s="396"/>
      <c r="K6" s="397"/>
      <c r="L6" s="567">
        <v>58392.23</v>
      </c>
      <c r="M6" s="567">
        <v>56559.19</v>
      </c>
      <c r="N6" s="396"/>
      <c r="O6" s="397"/>
      <c r="P6" s="567">
        <v>57804.98</v>
      </c>
      <c r="Q6" s="567">
        <v>61793.24</v>
      </c>
      <c r="R6" s="396"/>
      <c r="S6" s="397"/>
      <c r="T6" s="567">
        <v>62757.45</v>
      </c>
      <c r="U6" s="567">
        <v>62757.599999999999</v>
      </c>
      <c r="V6" s="396"/>
      <c r="W6" s="397"/>
      <c r="X6" s="567">
        <v>67320.899999999994</v>
      </c>
      <c r="Y6" s="567">
        <v>67320.899999999994</v>
      </c>
      <c r="Z6" s="396">
        <v>7.2715669613727094E-2</v>
      </c>
      <c r="AA6" s="397"/>
      <c r="AB6" s="567">
        <v>70117.649999999994</v>
      </c>
      <c r="AC6" s="567">
        <v>70117.649999999994</v>
      </c>
      <c r="AD6" s="396">
        <v>4.1543562251841554E-2</v>
      </c>
      <c r="AE6" s="397"/>
      <c r="AF6" s="567">
        <v>73308.38</v>
      </c>
      <c r="AG6" s="567">
        <v>79728.98</v>
      </c>
      <c r="AH6" s="567">
        <v>79728.98</v>
      </c>
      <c r="AI6" s="396">
        <f>(AG6-AB6)/AB6</f>
        <v>0.13707433149855996</v>
      </c>
      <c r="AJ6" s="396"/>
      <c r="AK6" s="567">
        <v>84094.2</v>
      </c>
      <c r="AL6" s="567">
        <v>40275</v>
      </c>
      <c r="AM6" s="396">
        <f>(AK6-AG6)/AG6</f>
        <v>5.4750731791627101E-2</v>
      </c>
      <c r="AN6" s="396"/>
      <c r="AO6" s="523">
        <f>'FY20 Payroll Schedule'!J10</f>
        <v>88948.800000000003</v>
      </c>
      <c r="AP6" s="399">
        <f>AO6-AK6</f>
        <v>4854.6000000000058</v>
      </c>
      <c r="AQ6" s="396">
        <f>(AO6-AK6)/AK6</f>
        <v>5.7728119180633218E-2</v>
      </c>
      <c r="AR6" s="520"/>
    </row>
    <row r="7" spans="1:44" s="566" customFormat="1" ht="16.5" customHeight="1" x14ac:dyDescent="0.3">
      <c r="A7" s="566" t="s">
        <v>1264</v>
      </c>
      <c r="B7" s="205">
        <v>5108</v>
      </c>
      <c r="C7" s="566" t="s">
        <v>1192</v>
      </c>
      <c r="D7" s="567">
        <v>0</v>
      </c>
      <c r="E7" s="567">
        <v>0</v>
      </c>
      <c r="F7" s="396"/>
      <c r="G7" s="397"/>
      <c r="H7" s="567">
        <v>0</v>
      </c>
      <c r="I7" s="567">
        <v>0</v>
      </c>
      <c r="J7" s="396"/>
      <c r="K7" s="397"/>
      <c r="L7" s="567">
        <v>0</v>
      </c>
      <c r="M7" s="567">
        <v>0</v>
      </c>
      <c r="N7" s="396"/>
      <c r="O7" s="397"/>
      <c r="P7" s="567">
        <v>0</v>
      </c>
      <c r="Q7" s="567">
        <v>0</v>
      </c>
      <c r="R7" s="396"/>
      <c r="S7" s="397"/>
      <c r="T7" s="567">
        <v>0</v>
      </c>
      <c r="U7" s="567">
        <v>0</v>
      </c>
      <c r="V7" s="396"/>
      <c r="W7" s="397"/>
      <c r="X7" s="567">
        <v>0</v>
      </c>
      <c r="Y7" s="567">
        <v>0</v>
      </c>
      <c r="Z7" s="396"/>
      <c r="AA7" s="397"/>
      <c r="AB7" s="567">
        <v>9320.83</v>
      </c>
      <c r="AC7" s="567">
        <v>3841.69</v>
      </c>
      <c r="AD7" s="396"/>
      <c r="AE7" s="397"/>
      <c r="AF7" s="567">
        <v>10423.299999999999</v>
      </c>
      <c r="AG7" s="567">
        <v>10448.35</v>
      </c>
      <c r="AH7" s="567">
        <v>8731.99</v>
      </c>
      <c r="AI7" s="396">
        <f>(AG7-AB7)/AB7</f>
        <v>0.12096776789191525</v>
      </c>
      <c r="AJ7" s="396"/>
      <c r="AK7" s="567">
        <v>11016.29</v>
      </c>
      <c r="AL7" s="567">
        <v>4299.96</v>
      </c>
      <c r="AM7" s="396">
        <f>(AK7-AG7)/AG7</f>
        <v>5.4356908028540436E-2</v>
      </c>
      <c r="AN7" s="396"/>
      <c r="AO7" s="408">
        <f>'FY20 Payroll Schedule'!J11</f>
        <v>11655.216</v>
      </c>
      <c r="AP7" s="399">
        <f>AO7-AK7</f>
        <v>638.92599999999948</v>
      </c>
      <c r="AQ7" s="396">
        <f>(AO7-AK7)/AK7</f>
        <v>5.7998291620863236E-2</v>
      </c>
      <c r="AR7" s="520" t="s">
        <v>1387</v>
      </c>
    </row>
    <row r="8" spans="1:44" s="114" customFormat="1" x14ac:dyDescent="0.25">
      <c r="A8" s="224"/>
      <c r="B8" s="224"/>
      <c r="C8" s="224" t="s">
        <v>26</v>
      </c>
      <c r="D8" s="225">
        <f>SUM(D6:D7)</f>
        <v>51600</v>
      </c>
      <c r="E8" s="225">
        <f>SUM(E6:E7)</f>
        <v>51600</v>
      </c>
      <c r="F8" s="226">
        <v>6.5000000000000002E-2</v>
      </c>
      <c r="G8" s="224"/>
      <c r="H8" s="225">
        <f>SUM(H6:H7)</f>
        <v>54830</v>
      </c>
      <c r="I8" s="225">
        <f>SUM(I6:I7)</f>
        <v>54830</v>
      </c>
      <c r="J8" s="226">
        <v>6.5000000000000002E-2</v>
      </c>
      <c r="K8" s="224"/>
      <c r="L8" s="225">
        <f>SUM(L6:L7)</f>
        <v>58392.23</v>
      </c>
      <c r="M8" s="225">
        <f>SUM(M6:M7)</f>
        <v>56559.19</v>
      </c>
      <c r="N8" s="226">
        <v>6.5000000000000002E-2</v>
      </c>
      <c r="O8" s="224"/>
      <c r="P8" s="225">
        <f>SUM(P6:P7)</f>
        <v>57804.98</v>
      </c>
      <c r="Q8" s="225">
        <f>SUM(Q6:Q7)</f>
        <v>61793.24</v>
      </c>
      <c r="R8" s="226">
        <v>6.5000000000000002E-2</v>
      </c>
      <c r="S8" s="224"/>
      <c r="T8" s="225">
        <f>SUM(T6:T7)</f>
        <v>62757.45</v>
      </c>
      <c r="U8" s="225">
        <f>SUM(U6:U7)</f>
        <v>62757.599999999999</v>
      </c>
      <c r="V8" s="226">
        <v>6.5000000000000002E-2</v>
      </c>
      <c r="W8" s="224"/>
      <c r="X8" s="225">
        <f>SUM(X6:X7)</f>
        <v>67320.899999999994</v>
      </c>
      <c r="Y8" s="225">
        <f>SUM(Y6:Y7)</f>
        <v>67320.899999999994</v>
      </c>
      <c r="Z8" s="226">
        <f>(X8-T8)/T8</f>
        <v>7.2715669613727094E-2</v>
      </c>
      <c r="AA8" s="224"/>
      <c r="AB8" s="225">
        <f>SUM(AB6:AB7)</f>
        <v>79438.48</v>
      </c>
      <c r="AC8" s="225">
        <f>SUM(AC6:AC7)</f>
        <v>73959.34</v>
      </c>
      <c r="AD8" s="226">
        <f>(AB8-X8)/X8</f>
        <v>0.17999729653049801</v>
      </c>
      <c r="AE8" s="224"/>
      <c r="AF8" s="227">
        <f>SUM(AF6:AF7)</f>
        <v>83731.680000000008</v>
      </c>
      <c r="AG8" s="381">
        <f>SUM(AG6:AG7)</f>
        <v>90177.33</v>
      </c>
      <c r="AH8" s="225">
        <f>SUM(AH6:AH7)</f>
        <v>88460.97</v>
      </c>
      <c r="AI8" s="226">
        <f t="shared" ref="AI8:AI18" si="0">(AG8-AB8)/AB8</f>
        <v>0.13518448489950974</v>
      </c>
      <c r="AJ8" s="226"/>
      <c r="AK8" s="225">
        <f>SUM(AK6:AK7)</f>
        <v>95110.489999999991</v>
      </c>
      <c r="AL8" s="225">
        <f>SUM(AL6:AL7)</f>
        <v>44574.96</v>
      </c>
      <c r="AM8" s="226">
        <f>(AK8-AG8)/AG8</f>
        <v>5.4705101603695613E-2</v>
      </c>
      <c r="AN8" s="226"/>
      <c r="AO8" s="227">
        <f>SUM(AO6:AO7)</f>
        <v>100604.016</v>
      </c>
      <c r="AP8" s="227">
        <f>SUM(AP6:AP7)</f>
        <v>5493.5260000000053</v>
      </c>
      <c r="AQ8" s="226">
        <f>(AO8-AK8)/AK8</f>
        <v>5.7759412237283321E-2</v>
      </c>
      <c r="AR8" s="224"/>
    </row>
    <row r="9" spans="1:44" x14ac:dyDescent="0.25">
      <c r="D9" s="112"/>
      <c r="E9" s="112"/>
      <c r="F9" s="216"/>
      <c r="H9" s="112"/>
      <c r="I9" s="112"/>
      <c r="J9" s="216"/>
      <c r="L9" s="112"/>
      <c r="M9" s="112"/>
      <c r="N9" s="216"/>
      <c r="P9" s="112"/>
      <c r="Q9" s="112"/>
      <c r="R9" s="216"/>
      <c r="T9" s="112"/>
      <c r="U9" s="112"/>
      <c r="V9" s="80"/>
      <c r="X9" s="112"/>
      <c r="Y9" s="112"/>
      <c r="Z9" s="80"/>
      <c r="AB9" s="112"/>
      <c r="AC9" s="112"/>
      <c r="AD9" s="80"/>
      <c r="AF9" s="212"/>
      <c r="AG9" s="212"/>
      <c r="AH9" s="112"/>
      <c r="AI9" s="216"/>
      <c r="AJ9" s="80"/>
      <c r="AK9" s="112"/>
      <c r="AL9" s="112"/>
      <c r="AM9" s="396"/>
      <c r="AN9" s="396"/>
      <c r="AQ9" s="396"/>
    </row>
    <row r="10" spans="1:44" x14ac:dyDescent="0.25">
      <c r="C10" s="111" t="s">
        <v>277</v>
      </c>
      <c r="D10" s="112"/>
      <c r="E10" s="112"/>
      <c r="F10" s="216"/>
      <c r="H10" s="112"/>
      <c r="I10" s="112"/>
      <c r="J10" s="216"/>
      <c r="L10" s="112"/>
      <c r="M10" s="112"/>
      <c r="N10" s="216"/>
      <c r="P10" s="112"/>
      <c r="Q10" s="112"/>
      <c r="R10" s="216"/>
      <c r="T10" s="112"/>
      <c r="U10" s="112"/>
      <c r="V10" s="80"/>
      <c r="X10" s="112"/>
      <c r="Y10" s="112"/>
      <c r="Z10" s="80"/>
      <c r="AB10" s="112"/>
      <c r="AC10" s="112"/>
      <c r="AD10" s="80"/>
      <c r="AF10" s="212"/>
      <c r="AG10" s="212"/>
      <c r="AH10" s="112"/>
      <c r="AI10" s="216"/>
      <c r="AJ10" s="80"/>
      <c r="AK10" s="112"/>
      <c r="AL10" s="112"/>
      <c r="AM10" s="396"/>
      <c r="AN10" s="396"/>
      <c r="AQ10" s="396"/>
      <c r="AR10" s="111"/>
    </row>
    <row r="11" spans="1:44" s="211" customFormat="1" ht="16.5" customHeight="1" x14ac:dyDescent="0.3">
      <c r="A11" s="211" t="s">
        <v>322</v>
      </c>
      <c r="B11" s="214" t="s">
        <v>1612</v>
      </c>
      <c r="C11" s="211" t="s">
        <v>1613</v>
      </c>
      <c r="D11" s="245">
        <v>4644.32</v>
      </c>
      <c r="E11" s="245">
        <v>5161.3999999999996</v>
      </c>
      <c r="F11" s="216"/>
      <c r="G11" s="213"/>
      <c r="H11" s="245">
        <v>2739</v>
      </c>
      <c r="I11" s="245">
        <v>4069.75</v>
      </c>
      <c r="J11" s="216"/>
      <c r="K11" s="213"/>
      <c r="L11" s="245">
        <v>4070</v>
      </c>
      <c r="M11" s="245">
        <v>4120</v>
      </c>
      <c r="N11" s="216"/>
      <c r="O11" s="213"/>
      <c r="P11" s="245">
        <v>4070</v>
      </c>
      <c r="Q11" s="245">
        <v>3370</v>
      </c>
      <c r="R11" s="216"/>
      <c r="S11" s="213"/>
      <c r="T11" s="245">
        <v>4896</v>
      </c>
      <c r="U11" s="245">
        <v>4896.68</v>
      </c>
      <c r="V11" s="216"/>
      <c r="W11" s="213"/>
      <c r="X11" s="245">
        <v>5518</v>
      </c>
      <c r="Y11" s="245">
        <v>5518</v>
      </c>
      <c r="Z11" s="216">
        <v>0.12704248366013071</v>
      </c>
      <c r="AA11" s="213"/>
      <c r="AB11" s="245">
        <v>6220</v>
      </c>
      <c r="AC11" s="245">
        <v>6220</v>
      </c>
      <c r="AD11" s="216">
        <v>0.12722000724900326</v>
      </c>
      <c r="AE11" s="213"/>
      <c r="AF11" s="245">
        <v>7000</v>
      </c>
      <c r="AG11" s="245">
        <v>7000</v>
      </c>
      <c r="AH11" s="245">
        <v>6250.33</v>
      </c>
      <c r="AI11" s="216">
        <f t="shared" si="0"/>
        <v>0.12540192926045016</v>
      </c>
      <c r="AJ11" s="216"/>
      <c r="AK11" s="398">
        <v>7000</v>
      </c>
      <c r="AL11" s="398">
        <v>6437.66</v>
      </c>
      <c r="AM11" s="396">
        <f t="shared" ref="AM11:AM19" si="1">(AK11-AG11)/AG11</f>
        <v>0</v>
      </c>
      <c r="AN11" s="396"/>
      <c r="AO11" s="163">
        <v>6700</v>
      </c>
      <c r="AP11" s="399">
        <f t="shared" ref="AP11:AP18" si="2">AO11-AK11</f>
        <v>-300</v>
      </c>
      <c r="AQ11" s="396">
        <f t="shared" ref="AQ11:AQ19" si="3">(AO11-AK11)/AK11</f>
        <v>-4.2857142857142858E-2</v>
      </c>
      <c r="AR11" s="520" t="s">
        <v>2119</v>
      </c>
    </row>
    <row r="12" spans="1:44" s="566" customFormat="1" ht="16.5" customHeight="1" x14ac:dyDescent="0.3">
      <c r="A12" s="566" t="s">
        <v>323</v>
      </c>
      <c r="B12" s="568" t="s">
        <v>296</v>
      </c>
      <c r="C12" s="566" t="s">
        <v>1495</v>
      </c>
      <c r="D12" s="567">
        <v>1500</v>
      </c>
      <c r="E12" s="567">
        <v>1340.16</v>
      </c>
      <c r="F12" s="396"/>
      <c r="G12" s="397"/>
      <c r="H12" s="567">
        <v>1500</v>
      </c>
      <c r="I12" s="567">
        <v>350</v>
      </c>
      <c r="J12" s="396"/>
      <c r="K12" s="397"/>
      <c r="L12" s="567">
        <v>650</v>
      </c>
      <c r="M12" s="567">
        <v>462.65</v>
      </c>
      <c r="N12" s="396"/>
      <c r="O12" s="397"/>
      <c r="P12" s="567">
        <v>1650</v>
      </c>
      <c r="Q12" s="567">
        <v>605</v>
      </c>
      <c r="R12" s="396"/>
      <c r="S12" s="397"/>
      <c r="T12" s="567">
        <v>1000</v>
      </c>
      <c r="U12" s="567">
        <v>290</v>
      </c>
      <c r="V12" s="396"/>
      <c r="W12" s="397"/>
      <c r="X12" s="567">
        <v>1000</v>
      </c>
      <c r="Y12" s="567">
        <v>989</v>
      </c>
      <c r="Z12" s="396">
        <v>0</v>
      </c>
      <c r="AA12" s="397"/>
      <c r="AB12" s="567">
        <v>1000</v>
      </c>
      <c r="AC12" s="567">
        <v>0</v>
      </c>
      <c r="AD12" s="396">
        <v>0</v>
      </c>
      <c r="AE12" s="397"/>
      <c r="AF12" s="567">
        <v>1000</v>
      </c>
      <c r="AG12" s="567">
        <v>1000</v>
      </c>
      <c r="AH12" s="567">
        <v>0</v>
      </c>
      <c r="AI12" s="396">
        <f t="shared" si="0"/>
        <v>0</v>
      </c>
      <c r="AJ12" s="396"/>
      <c r="AK12" s="567">
        <v>1000</v>
      </c>
      <c r="AL12" s="567">
        <v>0</v>
      </c>
      <c r="AM12" s="396">
        <f t="shared" si="1"/>
        <v>0</v>
      </c>
      <c r="AN12" s="396"/>
      <c r="AO12" s="523">
        <v>500</v>
      </c>
      <c r="AP12" s="399">
        <f t="shared" si="2"/>
        <v>-500</v>
      </c>
      <c r="AQ12" s="396">
        <f t="shared" si="3"/>
        <v>-0.5</v>
      </c>
      <c r="AR12" s="520" t="s">
        <v>2120</v>
      </c>
    </row>
    <row r="13" spans="1:44" s="566" customFormat="1" ht="16.5" customHeight="1" x14ac:dyDescent="0.3">
      <c r="A13" s="566" t="s">
        <v>324</v>
      </c>
      <c r="B13" s="568" t="s">
        <v>298</v>
      </c>
      <c r="C13" s="566" t="s">
        <v>1599</v>
      </c>
      <c r="D13" s="567">
        <v>50</v>
      </c>
      <c r="E13" s="567">
        <v>0</v>
      </c>
      <c r="F13" s="396"/>
      <c r="G13" s="397"/>
      <c r="H13" s="567">
        <v>50</v>
      </c>
      <c r="I13" s="567">
        <v>28.82</v>
      </c>
      <c r="J13" s="396"/>
      <c r="K13" s="397"/>
      <c r="L13" s="567">
        <v>50</v>
      </c>
      <c r="M13" s="567">
        <v>464.69</v>
      </c>
      <c r="N13" s="396"/>
      <c r="O13" s="397"/>
      <c r="P13" s="567">
        <v>50</v>
      </c>
      <c r="Q13" s="567">
        <v>-142.94</v>
      </c>
      <c r="R13" s="396"/>
      <c r="S13" s="397"/>
      <c r="T13" s="567">
        <v>50</v>
      </c>
      <c r="U13" s="567">
        <v>0</v>
      </c>
      <c r="V13" s="396"/>
      <c r="W13" s="397"/>
      <c r="X13" s="567">
        <v>50</v>
      </c>
      <c r="Y13" s="567">
        <v>0</v>
      </c>
      <c r="Z13" s="396">
        <v>0</v>
      </c>
      <c r="AA13" s="397"/>
      <c r="AB13" s="567">
        <v>50</v>
      </c>
      <c r="AC13" s="567">
        <v>30</v>
      </c>
      <c r="AD13" s="396">
        <v>0</v>
      </c>
      <c r="AE13" s="397"/>
      <c r="AF13" s="567">
        <v>50</v>
      </c>
      <c r="AG13" s="567">
        <v>50</v>
      </c>
      <c r="AH13" s="567">
        <v>0</v>
      </c>
      <c r="AI13" s="396">
        <f t="shared" si="0"/>
        <v>0</v>
      </c>
      <c r="AJ13" s="396"/>
      <c r="AK13" s="567">
        <v>50</v>
      </c>
      <c r="AL13" s="567">
        <v>0</v>
      </c>
      <c r="AM13" s="396">
        <f t="shared" si="1"/>
        <v>0</v>
      </c>
      <c r="AN13" s="396"/>
      <c r="AO13" s="523">
        <v>50</v>
      </c>
      <c r="AP13" s="399">
        <f t="shared" si="2"/>
        <v>0</v>
      </c>
      <c r="AQ13" s="396">
        <f t="shared" si="3"/>
        <v>0</v>
      </c>
      <c r="AR13" s="520"/>
    </row>
    <row r="14" spans="1:44" s="566" customFormat="1" ht="16.5" customHeight="1" x14ac:dyDescent="0.3">
      <c r="A14" s="566" t="s">
        <v>325</v>
      </c>
      <c r="B14" s="568" t="s">
        <v>302</v>
      </c>
      <c r="C14" s="566" t="s">
        <v>1601</v>
      </c>
      <c r="D14" s="567">
        <v>75</v>
      </c>
      <c r="E14" s="567">
        <v>100.37</v>
      </c>
      <c r="F14" s="396"/>
      <c r="G14" s="397"/>
      <c r="H14" s="567">
        <v>75</v>
      </c>
      <c r="I14" s="567">
        <v>16.18</v>
      </c>
      <c r="J14" s="396"/>
      <c r="K14" s="397"/>
      <c r="L14" s="567">
        <v>75</v>
      </c>
      <c r="M14" s="567">
        <v>8.8699999999999992</v>
      </c>
      <c r="N14" s="396"/>
      <c r="O14" s="397"/>
      <c r="P14" s="567">
        <v>75</v>
      </c>
      <c r="Q14" s="567">
        <v>14.07</v>
      </c>
      <c r="R14" s="396"/>
      <c r="S14" s="397"/>
      <c r="T14" s="567">
        <v>50</v>
      </c>
      <c r="U14" s="567">
        <v>30.5</v>
      </c>
      <c r="V14" s="396"/>
      <c r="W14" s="397"/>
      <c r="X14" s="567">
        <v>50</v>
      </c>
      <c r="Y14" s="567">
        <v>24.07</v>
      </c>
      <c r="Z14" s="396">
        <v>0</v>
      </c>
      <c r="AA14" s="397"/>
      <c r="AB14" s="567">
        <v>50</v>
      </c>
      <c r="AC14" s="567">
        <v>13.69</v>
      </c>
      <c r="AD14" s="396">
        <v>0</v>
      </c>
      <c r="AE14" s="397"/>
      <c r="AF14" s="567">
        <v>50</v>
      </c>
      <c r="AG14" s="567">
        <v>50</v>
      </c>
      <c r="AH14" s="567">
        <v>23.9</v>
      </c>
      <c r="AI14" s="396">
        <f t="shared" si="0"/>
        <v>0</v>
      </c>
      <c r="AJ14" s="396"/>
      <c r="AK14" s="567">
        <v>50</v>
      </c>
      <c r="AL14" s="567">
        <v>0.47</v>
      </c>
      <c r="AM14" s="396">
        <f t="shared" si="1"/>
        <v>0</v>
      </c>
      <c r="AN14" s="396"/>
      <c r="AO14" s="523">
        <v>50</v>
      </c>
      <c r="AP14" s="399">
        <f t="shared" si="2"/>
        <v>0</v>
      </c>
      <c r="AQ14" s="396">
        <f t="shared" si="3"/>
        <v>0</v>
      </c>
      <c r="AR14" s="520" t="s">
        <v>1152</v>
      </c>
    </row>
    <row r="15" spans="1:44" s="566" customFormat="1" ht="16.5" customHeight="1" x14ac:dyDescent="0.3">
      <c r="A15" s="566" t="s">
        <v>326</v>
      </c>
      <c r="B15" s="568" t="s">
        <v>949</v>
      </c>
      <c r="C15" s="566" t="s">
        <v>1480</v>
      </c>
      <c r="D15" s="567">
        <v>75</v>
      </c>
      <c r="E15" s="567">
        <v>6.1</v>
      </c>
      <c r="F15" s="396"/>
      <c r="G15" s="397"/>
      <c r="H15" s="567">
        <v>75</v>
      </c>
      <c r="I15" s="567">
        <v>35.69</v>
      </c>
      <c r="J15" s="396"/>
      <c r="K15" s="397"/>
      <c r="L15" s="567">
        <v>75</v>
      </c>
      <c r="M15" s="567">
        <v>262.51</v>
      </c>
      <c r="N15" s="396"/>
      <c r="O15" s="397"/>
      <c r="P15" s="567">
        <v>75</v>
      </c>
      <c r="Q15" s="567">
        <v>0</v>
      </c>
      <c r="R15" s="396"/>
      <c r="S15" s="397"/>
      <c r="T15" s="567">
        <v>75</v>
      </c>
      <c r="U15" s="567">
        <v>200</v>
      </c>
      <c r="V15" s="396"/>
      <c r="W15" s="397"/>
      <c r="X15" s="567">
        <v>50</v>
      </c>
      <c r="Y15" s="567">
        <v>8</v>
      </c>
      <c r="Z15" s="396">
        <v>-0.33333333333333331</v>
      </c>
      <c r="AA15" s="397"/>
      <c r="AB15" s="567">
        <v>200</v>
      </c>
      <c r="AC15" s="567">
        <v>392.43</v>
      </c>
      <c r="AD15" s="396">
        <v>3</v>
      </c>
      <c r="AE15" s="397"/>
      <c r="AF15" s="567">
        <v>50</v>
      </c>
      <c r="AG15" s="567">
        <v>50</v>
      </c>
      <c r="AH15" s="567">
        <v>0</v>
      </c>
      <c r="AI15" s="396">
        <f t="shared" si="0"/>
        <v>-0.75</v>
      </c>
      <c r="AJ15" s="396"/>
      <c r="AK15" s="567">
        <v>50</v>
      </c>
      <c r="AL15" s="567">
        <v>0</v>
      </c>
      <c r="AM15" s="396">
        <f t="shared" si="1"/>
        <v>0</v>
      </c>
      <c r="AN15" s="396"/>
      <c r="AO15" s="523">
        <v>250</v>
      </c>
      <c r="AP15" s="399">
        <f t="shared" si="2"/>
        <v>200</v>
      </c>
      <c r="AQ15" s="396">
        <f t="shared" si="3"/>
        <v>4</v>
      </c>
      <c r="AR15" s="520" t="s">
        <v>1120</v>
      </c>
    </row>
    <row r="16" spans="1:44" s="566" customFormat="1" ht="16.5" customHeight="1" x14ac:dyDescent="0.3">
      <c r="A16" s="566" t="s">
        <v>327</v>
      </c>
      <c r="B16" s="568" t="s">
        <v>1614</v>
      </c>
      <c r="C16" s="566" t="s">
        <v>1615</v>
      </c>
      <c r="D16" s="567">
        <v>200</v>
      </c>
      <c r="E16" s="567">
        <v>0</v>
      </c>
      <c r="F16" s="396"/>
      <c r="G16" s="397"/>
      <c r="H16" s="567">
        <v>200</v>
      </c>
      <c r="I16" s="567">
        <v>0</v>
      </c>
      <c r="J16" s="396"/>
      <c r="K16" s="397"/>
      <c r="L16" s="567">
        <v>200</v>
      </c>
      <c r="M16" s="567">
        <v>106.33</v>
      </c>
      <c r="N16" s="396"/>
      <c r="O16" s="397"/>
      <c r="P16" s="567">
        <v>200</v>
      </c>
      <c r="Q16" s="567">
        <v>200</v>
      </c>
      <c r="R16" s="396"/>
      <c r="S16" s="397"/>
      <c r="T16" s="567">
        <v>200</v>
      </c>
      <c r="U16" s="567">
        <v>0</v>
      </c>
      <c r="V16" s="396"/>
      <c r="W16" s="397"/>
      <c r="X16" s="567">
        <v>200</v>
      </c>
      <c r="Y16" s="567">
        <v>0</v>
      </c>
      <c r="Z16" s="396">
        <v>0</v>
      </c>
      <c r="AA16" s="397"/>
      <c r="AB16" s="567">
        <v>200</v>
      </c>
      <c r="AC16" s="567">
        <v>0</v>
      </c>
      <c r="AD16" s="396">
        <v>0</v>
      </c>
      <c r="AE16" s="397"/>
      <c r="AF16" s="567">
        <v>200</v>
      </c>
      <c r="AG16" s="567">
        <v>200</v>
      </c>
      <c r="AH16" s="567">
        <v>152.01</v>
      </c>
      <c r="AI16" s="396">
        <f t="shared" si="0"/>
        <v>0</v>
      </c>
      <c r="AJ16" s="396"/>
      <c r="AK16" s="567">
        <v>200</v>
      </c>
      <c r="AL16" s="567">
        <v>0</v>
      </c>
      <c r="AM16" s="396">
        <f t="shared" si="1"/>
        <v>0</v>
      </c>
      <c r="AN16" s="396"/>
      <c r="AO16" s="523">
        <v>200</v>
      </c>
      <c r="AP16" s="399">
        <f t="shared" si="2"/>
        <v>0</v>
      </c>
      <c r="AQ16" s="396">
        <f t="shared" si="3"/>
        <v>0</v>
      </c>
      <c r="AR16" s="520" t="s">
        <v>328</v>
      </c>
    </row>
    <row r="17" spans="1:44" s="566" customFormat="1" ht="16.5" customHeight="1" x14ac:dyDescent="0.3">
      <c r="A17" s="566" t="s">
        <v>329</v>
      </c>
      <c r="B17" s="568" t="s">
        <v>310</v>
      </c>
      <c r="C17" s="566" t="s">
        <v>1605</v>
      </c>
      <c r="D17" s="567">
        <v>1000</v>
      </c>
      <c r="E17" s="567">
        <v>946.29</v>
      </c>
      <c r="F17" s="396"/>
      <c r="G17" s="397"/>
      <c r="H17" s="567">
        <v>1000</v>
      </c>
      <c r="I17" s="567">
        <v>1134.18</v>
      </c>
      <c r="J17" s="396"/>
      <c r="K17" s="397"/>
      <c r="L17" s="567">
        <v>500</v>
      </c>
      <c r="M17" s="567">
        <v>0</v>
      </c>
      <c r="N17" s="396"/>
      <c r="O17" s="397"/>
      <c r="P17" s="567">
        <v>800</v>
      </c>
      <c r="Q17" s="567">
        <v>567.73</v>
      </c>
      <c r="R17" s="396"/>
      <c r="S17" s="397"/>
      <c r="T17" s="567">
        <v>800</v>
      </c>
      <c r="U17" s="567">
        <v>689.1</v>
      </c>
      <c r="V17" s="396"/>
      <c r="W17" s="397"/>
      <c r="X17" s="567">
        <v>800</v>
      </c>
      <c r="Y17" s="567">
        <v>1189.5999999999999</v>
      </c>
      <c r="Z17" s="396">
        <v>0</v>
      </c>
      <c r="AA17" s="397"/>
      <c r="AB17" s="567">
        <v>800</v>
      </c>
      <c r="AC17" s="567">
        <v>80.650000000000006</v>
      </c>
      <c r="AD17" s="396">
        <v>0</v>
      </c>
      <c r="AE17" s="397"/>
      <c r="AF17" s="567">
        <v>800</v>
      </c>
      <c r="AG17" s="567">
        <v>800</v>
      </c>
      <c r="AH17" s="567">
        <v>0</v>
      </c>
      <c r="AI17" s="396">
        <f t="shared" si="0"/>
        <v>0</v>
      </c>
      <c r="AJ17" s="396"/>
      <c r="AK17" s="567">
        <v>800</v>
      </c>
      <c r="AL17" s="567">
        <v>0</v>
      </c>
      <c r="AM17" s="396">
        <f t="shared" si="1"/>
        <v>0</v>
      </c>
      <c r="AN17" s="396"/>
      <c r="AO17" s="523">
        <v>1200</v>
      </c>
      <c r="AP17" s="399">
        <f t="shared" si="2"/>
        <v>400</v>
      </c>
      <c r="AQ17" s="396">
        <f t="shared" si="3"/>
        <v>0.5</v>
      </c>
      <c r="AR17" s="520" t="s">
        <v>2121</v>
      </c>
    </row>
    <row r="18" spans="1:44" s="566" customFormat="1" ht="16.5" customHeight="1" x14ac:dyDescent="0.3">
      <c r="A18" s="566" t="s">
        <v>330</v>
      </c>
      <c r="B18" s="568" t="s">
        <v>312</v>
      </c>
      <c r="C18" s="566" t="s">
        <v>1594</v>
      </c>
      <c r="D18" s="567">
        <v>60</v>
      </c>
      <c r="E18" s="567">
        <v>50</v>
      </c>
      <c r="F18" s="396"/>
      <c r="G18" s="397"/>
      <c r="H18" s="567">
        <v>60</v>
      </c>
      <c r="I18" s="567">
        <v>20</v>
      </c>
      <c r="J18" s="396"/>
      <c r="K18" s="397"/>
      <c r="L18" s="567">
        <v>60</v>
      </c>
      <c r="M18" s="567">
        <v>70</v>
      </c>
      <c r="N18" s="396"/>
      <c r="O18" s="397"/>
      <c r="P18" s="567">
        <v>60</v>
      </c>
      <c r="Q18" s="567">
        <v>70</v>
      </c>
      <c r="R18" s="396"/>
      <c r="S18" s="397"/>
      <c r="T18" s="567">
        <v>100</v>
      </c>
      <c r="U18" s="567">
        <v>95</v>
      </c>
      <c r="V18" s="396"/>
      <c r="W18" s="397"/>
      <c r="X18" s="567">
        <v>100</v>
      </c>
      <c r="Y18" s="567">
        <v>95</v>
      </c>
      <c r="Z18" s="396">
        <v>0</v>
      </c>
      <c r="AA18" s="397"/>
      <c r="AB18" s="567">
        <v>100</v>
      </c>
      <c r="AC18" s="567">
        <v>70</v>
      </c>
      <c r="AD18" s="396">
        <v>0</v>
      </c>
      <c r="AE18" s="397"/>
      <c r="AF18" s="567">
        <v>100</v>
      </c>
      <c r="AG18" s="567">
        <v>100</v>
      </c>
      <c r="AH18" s="567">
        <v>70</v>
      </c>
      <c r="AI18" s="396">
        <f t="shared" si="0"/>
        <v>0</v>
      </c>
      <c r="AJ18" s="396"/>
      <c r="AK18" s="567">
        <v>100</v>
      </c>
      <c r="AL18" s="567">
        <v>70</v>
      </c>
      <c r="AM18" s="396">
        <f t="shared" si="1"/>
        <v>0</v>
      </c>
      <c r="AN18" s="396"/>
      <c r="AO18" s="523">
        <v>70</v>
      </c>
      <c r="AP18" s="399">
        <f t="shared" si="2"/>
        <v>-30</v>
      </c>
      <c r="AQ18" s="396">
        <f t="shared" si="3"/>
        <v>-0.3</v>
      </c>
      <c r="AR18" s="520" t="s">
        <v>331</v>
      </c>
    </row>
    <row r="19" spans="1:44" s="114" customFormat="1" x14ac:dyDescent="0.25">
      <c r="A19" s="219"/>
      <c r="B19" s="219"/>
      <c r="C19" s="219" t="s">
        <v>279</v>
      </c>
      <c r="D19" s="220">
        <f>SUM(D11:D18)</f>
        <v>7604.32</v>
      </c>
      <c r="E19" s="220">
        <f>SUM(E11:E18)</f>
        <v>7604.32</v>
      </c>
      <c r="F19" s="221">
        <v>-3.3E-3</v>
      </c>
      <c r="G19" s="219"/>
      <c r="H19" s="220">
        <f>SUM(H11:H18)</f>
        <v>5699</v>
      </c>
      <c r="I19" s="220">
        <f>SUM(I11:I18)</f>
        <v>5654.62</v>
      </c>
      <c r="J19" s="221">
        <v>-3.3E-3</v>
      </c>
      <c r="K19" s="219"/>
      <c r="L19" s="220">
        <f>SUM(L11:L18)</f>
        <v>5680</v>
      </c>
      <c r="M19" s="220">
        <f>SUM(M11:M18)</f>
        <v>5495.0499999999993</v>
      </c>
      <c r="N19" s="221">
        <v>-3.3E-3</v>
      </c>
      <c r="O19" s="219"/>
      <c r="P19" s="220">
        <f>SUM(P11:P18)</f>
        <v>6980</v>
      </c>
      <c r="Q19" s="220">
        <f>SUM(Q11:Q18)</f>
        <v>4683.8600000000006</v>
      </c>
      <c r="R19" s="221">
        <v>-3.3E-3</v>
      </c>
      <c r="S19" s="219"/>
      <c r="T19" s="220">
        <f>SUM(T11:T18)</f>
        <v>7171</v>
      </c>
      <c r="U19" s="220">
        <f>SUM(U11:U18)</f>
        <v>6201.2800000000007</v>
      </c>
      <c r="V19" s="221">
        <v>-3.3E-3</v>
      </c>
      <c r="W19" s="219"/>
      <c r="X19" s="220">
        <f>SUM(X11:X18)</f>
        <v>7768</v>
      </c>
      <c r="Y19" s="220">
        <f>SUM(Y11:Y18)</f>
        <v>7823.67</v>
      </c>
      <c r="Z19" s="222">
        <f>(X19-T19)/T19</f>
        <v>8.3251987170548047E-2</v>
      </c>
      <c r="AA19" s="219"/>
      <c r="AB19" s="220">
        <f>SUM(AB11:AB18)</f>
        <v>8620</v>
      </c>
      <c r="AC19" s="220">
        <f>SUM(AC11:AC18)</f>
        <v>6806.7699999999995</v>
      </c>
      <c r="AD19" s="221">
        <f>(AB19-X19)/X19</f>
        <v>0.10968074150360453</v>
      </c>
      <c r="AE19" s="219"/>
      <c r="AF19" s="220">
        <f>SUM(AF11:AF18)</f>
        <v>9250</v>
      </c>
      <c r="AG19" s="220">
        <f>SUM(AG11:AG18)</f>
        <v>9250</v>
      </c>
      <c r="AH19" s="220">
        <f>SUM(AH11:AH18)</f>
        <v>6496.24</v>
      </c>
      <c r="AI19" s="221">
        <f>(AG19-AB19)/AB19</f>
        <v>7.3085846867749424E-2</v>
      </c>
      <c r="AJ19" s="221"/>
      <c r="AK19" s="401">
        <f>SUM(AK11:AK18)</f>
        <v>9250</v>
      </c>
      <c r="AL19" s="401">
        <f>SUM(AL11:AL18)</f>
        <v>6508.13</v>
      </c>
      <c r="AM19" s="221">
        <f t="shared" si="1"/>
        <v>0</v>
      </c>
      <c r="AN19" s="221"/>
      <c r="AO19" s="223">
        <f>SUM(AO11:AO18)</f>
        <v>9020</v>
      </c>
      <c r="AP19" s="220">
        <f>SUM(AP11:AP18)</f>
        <v>-230</v>
      </c>
      <c r="AQ19" s="221">
        <f t="shared" si="3"/>
        <v>-2.4864864864864864E-2</v>
      </c>
      <c r="AR19" s="219"/>
    </row>
    <row r="20" spans="1:44" s="211" customFormat="1" x14ac:dyDescent="0.25">
      <c r="D20" s="112"/>
      <c r="E20" s="112"/>
      <c r="F20" s="216"/>
      <c r="G20" s="213"/>
      <c r="H20" s="112"/>
      <c r="I20" s="112"/>
      <c r="J20" s="216"/>
      <c r="K20" s="213"/>
      <c r="L20" s="112"/>
      <c r="M20" s="112"/>
      <c r="N20" s="216"/>
      <c r="O20" s="213"/>
      <c r="P20" s="112"/>
      <c r="Q20" s="112"/>
      <c r="R20" s="216"/>
      <c r="S20" s="213"/>
      <c r="T20" s="112"/>
      <c r="U20" s="112"/>
      <c r="V20" s="216"/>
      <c r="W20" s="213"/>
      <c r="X20" s="112"/>
      <c r="Y20" s="112"/>
      <c r="Z20" s="216"/>
      <c r="AA20" s="213"/>
      <c r="AB20" s="112"/>
      <c r="AC20" s="112"/>
      <c r="AD20" s="216"/>
      <c r="AE20" s="213"/>
      <c r="AF20" s="112"/>
      <c r="AG20" s="112"/>
      <c r="AH20" s="112"/>
      <c r="AI20" s="216"/>
      <c r="AJ20" s="216"/>
      <c r="AK20" s="112"/>
      <c r="AL20" s="112"/>
      <c r="AM20" s="396"/>
      <c r="AN20" s="396"/>
      <c r="AO20" s="212"/>
      <c r="AP20" s="212"/>
      <c r="AQ20" s="396"/>
    </row>
    <row r="21" spans="1:44" s="114" customFormat="1" ht="12.75" x14ac:dyDescent="0.2">
      <c r="A21" s="228"/>
      <c r="B21" s="228"/>
      <c r="C21" s="233" t="s">
        <v>280</v>
      </c>
      <c r="D21" s="230">
        <f>D8+D19</f>
        <v>59204.32</v>
      </c>
      <c r="E21" s="230">
        <f>E8+E19</f>
        <v>59204.32</v>
      </c>
      <c r="F21" s="231">
        <v>5.8500000000000003E-2</v>
      </c>
      <c r="G21" s="228"/>
      <c r="H21" s="230">
        <f>H8+H19</f>
        <v>60529</v>
      </c>
      <c r="I21" s="230">
        <f>I8+I19</f>
        <v>60484.62</v>
      </c>
      <c r="J21" s="231">
        <v>5.8500000000000003E-2</v>
      </c>
      <c r="K21" s="228"/>
      <c r="L21" s="230">
        <f>L8+L19</f>
        <v>64072.23</v>
      </c>
      <c r="M21" s="230">
        <f>M8+M19</f>
        <v>62054.240000000005</v>
      </c>
      <c r="N21" s="231">
        <v>5.8500000000000003E-2</v>
      </c>
      <c r="O21" s="228"/>
      <c r="P21" s="230">
        <f>P8+P19</f>
        <v>64784.98</v>
      </c>
      <c r="Q21" s="230">
        <f>Q8+Q19</f>
        <v>66477.100000000006</v>
      </c>
      <c r="R21" s="231">
        <v>5.8500000000000003E-2</v>
      </c>
      <c r="S21" s="228"/>
      <c r="T21" s="230">
        <f>T8+T19</f>
        <v>69928.45</v>
      </c>
      <c r="U21" s="230">
        <f>U8+U19</f>
        <v>68958.880000000005</v>
      </c>
      <c r="V21" s="231">
        <v>5.8500000000000003E-2</v>
      </c>
      <c r="W21" s="228"/>
      <c r="X21" s="230">
        <f>X8+X19</f>
        <v>75088.899999999994</v>
      </c>
      <c r="Y21" s="230">
        <f>Y8+Y19</f>
        <v>75144.569999999992</v>
      </c>
      <c r="Z21" s="231">
        <f>(X21-T21)/T21</f>
        <v>7.3796144487687024E-2</v>
      </c>
      <c r="AA21" s="228"/>
      <c r="AB21" s="230">
        <f>AB8+AB19</f>
        <v>88058.48</v>
      </c>
      <c r="AC21" s="230">
        <f>AC8+AC19</f>
        <v>80766.11</v>
      </c>
      <c r="AD21" s="231">
        <f>(AB21-X21)/X21</f>
        <v>0.17272299900517923</v>
      </c>
      <c r="AE21" s="228"/>
      <c r="AF21" s="230">
        <f>AF8+AF19</f>
        <v>92981.680000000008</v>
      </c>
      <c r="AG21" s="382">
        <f>AG8+AG19</f>
        <v>99427.33</v>
      </c>
      <c r="AH21" s="230">
        <f>AH8+AH19</f>
        <v>94957.21</v>
      </c>
      <c r="AI21" s="231">
        <f>(AG21-AB21)/AB21</f>
        <v>0.12910568067947581</v>
      </c>
      <c r="AJ21" s="231"/>
      <c r="AK21" s="402">
        <f>AK8+AK19</f>
        <v>104360.48999999999</v>
      </c>
      <c r="AL21" s="402">
        <f>AL8+AL19</f>
        <v>51083.09</v>
      </c>
      <c r="AM21" s="231">
        <f>(AK21-AG21)/AG21</f>
        <v>4.9615734426339209E-2</v>
      </c>
      <c r="AN21" s="231"/>
      <c r="AO21" s="230">
        <f>AO8+AO19</f>
        <v>109624.016</v>
      </c>
      <c r="AP21" s="230">
        <f>AP8+AP19</f>
        <v>5263.5260000000053</v>
      </c>
      <c r="AQ21" s="231">
        <f>(AO21-AK21)/AK21</f>
        <v>5.0436003127237262E-2</v>
      </c>
      <c r="AR21" s="233"/>
    </row>
    <row r="22" spans="1:44" x14ac:dyDescent="0.25">
      <c r="D22" s="120"/>
      <c r="F22" s="216"/>
      <c r="H22" s="120"/>
      <c r="J22" s="216"/>
      <c r="L22" s="120"/>
      <c r="N22" s="216"/>
      <c r="P22" s="120"/>
      <c r="R22" s="216"/>
      <c r="T22" s="120"/>
      <c r="V22" s="80"/>
      <c r="X22" s="120"/>
      <c r="AB22" s="120"/>
      <c r="AF22" s="120"/>
      <c r="AG22" s="120"/>
      <c r="AK22" s="403"/>
    </row>
    <row r="23" spans="1:44" s="111" customFormat="1" ht="14.25" thickBot="1" x14ac:dyDescent="0.3">
      <c r="C23" s="111" t="s">
        <v>281</v>
      </c>
      <c r="D23" s="122"/>
      <c r="E23" s="121">
        <f>D21-E21</f>
        <v>0</v>
      </c>
      <c r="F23" s="216"/>
      <c r="G23" s="118"/>
      <c r="H23" s="122"/>
      <c r="I23" s="121">
        <f>H21-I21</f>
        <v>44.379999999997381</v>
      </c>
      <c r="J23" s="216"/>
      <c r="K23" s="118"/>
      <c r="L23" s="122"/>
      <c r="M23" s="121">
        <f>L21-M21</f>
        <v>2017.989999999998</v>
      </c>
      <c r="N23" s="216"/>
      <c r="O23" s="118"/>
      <c r="P23" s="122"/>
      <c r="Q23" s="121">
        <f>P21-Q21</f>
        <v>-1692.1200000000026</v>
      </c>
      <c r="R23" s="216"/>
      <c r="S23" s="118"/>
      <c r="T23" s="122"/>
      <c r="U23" s="121">
        <f>T21-U21</f>
        <v>969.56999999999243</v>
      </c>
      <c r="V23" s="80"/>
      <c r="W23" s="118"/>
      <c r="X23" s="122"/>
      <c r="Y23" s="121">
        <f>X21-Y21</f>
        <v>-55.669999999998254</v>
      </c>
      <c r="AA23" s="118"/>
      <c r="AB23" s="122"/>
      <c r="AC23" s="121">
        <f>AB21-AC21</f>
        <v>7292.3699999999953</v>
      </c>
      <c r="AE23" s="118"/>
      <c r="AF23" s="122"/>
      <c r="AG23" s="122"/>
      <c r="AH23" s="121">
        <f>AG21-AH21</f>
        <v>4470.1199999999953</v>
      </c>
      <c r="AK23" s="122"/>
      <c r="AL23" s="121">
        <f>AK21-AL21</f>
        <v>53277.399999999994</v>
      </c>
      <c r="AO23" s="123"/>
      <c r="AP23" s="123"/>
    </row>
    <row r="24" spans="1:44" ht="14.25" thickTop="1" x14ac:dyDescent="0.25">
      <c r="F24" s="216"/>
      <c r="J24" s="216"/>
      <c r="N24" s="216"/>
      <c r="R24" s="216"/>
      <c r="V24" s="80"/>
      <c r="AO24" s="240" t="s">
        <v>1195</v>
      </c>
      <c r="AP24" s="241"/>
      <c r="AQ24" s="242"/>
    </row>
    <row r="25" spans="1:44" x14ac:dyDescent="0.25">
      <c r="F25" s="216"/>
      <c r="J25" s="216"/>
      <c r="N25" s="216"/>
      <c r="R25" s="216"/>
      <c r="V25" s="80"/>
      <c r="AO25" s="243" t="s">
        <v>313</v>
      </c>
      <c r="AP25" s="5"/>
      <c r="AQ25" s="299">
        <f>AO8*0.0145</f>
        <v>1458.7582320000001</v>
      </c>
    </row>
    <row r="26" spans="1:44" x14ac:dyDescent="0.25">
      <c r="F26" s="216"/>
      <c r="J26" s="216"/>
      <c r="N26" s="216"/>
      <c r="R26" s="216"/>
      <c r="V26" s="80"/>
      <c r="AO26" s="210" t="s">
        <v>314</v>
      </c>
      <c r="AP26" s="5"/>
      <c r="AQ26" s="299">
        <f>AO8*0.0009</f>
        <v>90.543614399999996</v>
      </c>
    </row>
    <row r="27" spans="1:44" x14ac:dyDescent="0.25">
      <c r="F27" s="216"/>
      <c r="J27" s="216"/>
      <c r="N27" s="216"/>
      <c r="R27" s="216"/>
      <c r="V27" s="80"/>
      <c r="AO27" s="210" t="s">
        <v>315</v>
      </c>
      <c r="AP27" s="5"/>
      <c r="AQ27" s="299">
        <f>AO8*0.003</f>
        <v>301.812048</v>
      </c>
    </row>
    <row r="28" spans="1:44" x14ac:dyDescent="0.25">
      <c r="F28" s="216"/>
      <c r="J28" s="216"/>
      <c r="N28" s="216"/>
      <c r="R28" s="216"/>
      <c r="V28" s="80"/>
      <c r="AO28" s="210" t="s">
        <v>316</v>
      </c>
      <c r="AP28" s="5"/>
      <c r="AQ28" s="299">
        <f>'County Retirement'!G5</f>
        <v>10878.6919152804</v>
      </c>
    </row>
    <row r="29" spans="1:44" x14ac:dyDescent="0.25">
      <c r="F29" s="216"/>
      <c r="J29" s="216"/>
      <c r="N29" s="216"/>
      <c r="R29" s="216"/>
      <c r="V29" s="80"/>
      <c r="AO29" s="210" t="s">
        <v>1153</v>
      </c>
      <c r="AP29" s="5"/>
      <c r="AQ29" s="302">
        <f>'Health Ins'!L14</f>
        <v>20727</v>
      </c>
      <c r="AR29" s="274"/>
    </row>
    <row r="30" spans="1:44" x14ac:dyDescent="0.25">
      <c r="F30" s="216"/>
      <c r="J30" s="216"/>
      <c r="N30" s="216"/>
      <c r="R30" s="216"/>
      <c r="V30" s="80"/>
      <c r="AO30" s="235"/>
      <c r="AP30" s="237"/>
      <c r="AQ30" s="301">
        <f>SUM(AQ25:AQ29)</f>
        <v>33456.805809680402</v>
      </c>
      <c r="AR30" s="273"/>
    </row>
    <row r="31" spans="1:44" x14ac:dyDescent="0.25">
      <c r="D31" s="120"/>
      <c r="F31" s="216"/>
      <c r="H31" s="120"/>
      <c r="J31" s="216"/>
      <c r="L31" s="120"/>
      <c r="N31" s="216"/>
      <c r="P31" s="120"/>
      <c r="R31" s="216"/>
      <c r="T31" s="120"/>
      <c r="V31" s="80"/>
      <c r="X31" s="120"/>
      <c r="AB31" s="120"/>
      <c r="AF31" s="120"/>
      <c r="AG31" s="120"/>
      <c r="AK31" s="403"/>
    </row>
    <row r="32" spans="1:44" x14ac:dyDescent="0.25">
      <c r="D32" s="120"/>
      <c r="F32" s="216"/>
      <c r="H32" s="120"/>
      <c r="J32" s="216"/>
      <c r="L32" s="120"/>
      <c r="N32" s="216"/>
      <c r="P32" s="120"/>
      <c r="R32" s="216"/>
      <c r="T32" s="120"/>
      <c r="V32" s="80"/>
      <c r="X32" s="120"/>
      <c r="AB32" s="120"/>
      <c r="AF32" s="120"/>
      <c r="AG32" s="120"/>
      <c r="AK32" s="403"/>
      <c r="AO32" s="408">
        <f>-AO7</f>
        <v>-11655.216</v>
      </c>
      <c r="AP32" s="399" t="s">
        <v>1446</v>
      </c>
    </row>
    <row r="33" spans="4:37" x14ac:dyDescent="0.25">
      <c r="D33" s="120"/>
      <c r="F33" s="216"/>
      <c r="H33" s="120"/>
      <c r="J33" s="216"/>
      <c r="L33" s="120"/>
      <c r="N33" s="216"/>
      <c r="P33" s="120"/>
      <c r="R33" s="216"/>
      <c r="T33" s="120"/>
      <c r="V33" s="80"/>
      <c r="X33" s="120"/>
      <c r="AB33" s="120"/>
      <c r="AF33" s="120"/>
      <c r="AG33" s="120"/>
      <c r="AK33" s="403"/>
    </row>
    <row r="34" spans="4:37" x14ac:dyDescent="0.25">
      <c r="D34" s="120"/>
      <c r="F34" s="216"/>
      <c r="H34" s="120"/>
      <c r="J34" s="216"/>
      <c r="L34" s="120"/>
      <c r="N34" s="216"/>
      <c r="P34" s="120"/>
      <c r="R34" s="216"/>
      <c r="T34" s="120"/>
      <c r="V34" s="80"/>
      <c r="X34" s="120"/>
      <c r="AB34" s="120"/>
      <c r="AF34" s="120"/>
      <c r="AG34" s="120"/>
      <c r="AK34" s="403"/>
    </row>
    <row r="35" spans="4:37" x14ac:dyDescent="0.25">
      <c r="D35" s="120"/>
      <c r="F35" s="216"/>
      <c r="H35" s="120"/>
      <c r="J35" s="216"/>
      <c r="L35" s="120"/>
      <c r="N35" s="216"/>
      <c r="P35" s="120"/>
      <c r="R35" s="216"/>
      <c r="T35" s="120"/>
      <c r="V35" s="80"/>
      <c r="X35" s="120"/>
      <c r="AB35" s="120"/>
      <c r="AF35" s="120"/>
      <c r="AG35" s="120"/>
      <c r="AK35" s="403"/>
    </row>
    <row r="36" spans="4:37" x14ac:dyDescent="0.25">
      <c r="D36" s="120"/>
      <c r="F36" s="216"/>
      <c r="H36" s="120"/>
      <c r="J36" s="216"/>
      <c r="L36" s="120"/>
      <c r="N36" s="216"/>
      <c r="P36" s="120"/>
      <c r="R36" s="216"/>
      <c r="T36" s="120"/>
      <c r="V36" s="80"/>
      <c r="X36" s="120"/>
      <c r="AB36" s="120"/>
      <c r="AF36" s="120"/>
      <c r="AG36" s="120"/>
      <c r="AK36" s="403"/>
    </row>
    <row r="37" spans="4:37" x14ac:dyDescent="0.25">
      <c r="D37" s="120"/>
      <c r="F37" s="216"/>
      <c r="H37" s="120"/>
      <c r="J37" s="216"/>
      <c r="L37" s="120"/>
      <c r="N37" s="216"/>
      <c r="P37" s="120"/>
      <c r="R37" s="216"/>
      <c r="T37" s="120"/>
      <c r="V37" s="80"/>
      <c r="X37" s="120"/>
      <c r="AB37" s="120"/>
      <c r="AF37" s="120"/>
      <c r="AG37" s="120"/>
      <c r="AK37" s="403"/>
    </row>
    <row r="38" spans="4:37" x14ac:dyDescent="0.25">
      <c r="D38" s="120"/>
      <c r="H38" s="120"/>
      <c r="L38" s="120"/>
      <c r="P38" s="120"/>
      <c r="T38" s="120"/>
      <c r="X38" s="120"/>
      <c r="AB38" s="120"/>
      <c r="AF38" s="120"/>
      <c r="AG38" s="120"/>
      <c r="AK38" s="403"/>
    </row>
    <row r="39" spans="4:37" x14ac:dyDescent="0.25">
      <c r="D39" s="120"/>
      <c r="H39" s="120"/>
      <c r="L39" s="120"/>
      <c r="P39" s="120"/>
      <c r="T39" s="120"/>
      <c r="X39" s="120"/>
      <c r="AB39" s="120"/>
      <c r="AF39" s="120"/>
      <c r="AG39" s="120"/>
      <c r="AK39" s="403"/>
    </row>
    <row r="40" spans="4:37" x14ac:dyDescent="0.25">
      <c r="D40" s="120"/>
      <c r="H40" s="120"/>
      <c r="L40" s="120"/>
      <c r="P40" s="120"/>
      <c r="T40" s="120"/>
      <c r="X40" s="120"/>
      <c r="AB40" s="120"/>
      <c r="AF40" s="120"/>
      <c r="AG40" s="120"/>
      <c r="AK40" s="403"/>
    </row>
    <row r="41" spans="4:37" x14ac:dyDescent="0.25">
      <c r="D41" s="120"/>
      <c r="H41" s="120"/>
      <c r="L41" s="120"/>
      <c r="P41" s="120"/>
      <c r="T41" s="120"/>
      <c r="X41" s="120"/>
      <c r="AB41" s="120"/>
      <c r="AF41" s="120"/>
      <c r="AG41" s="120"/>
      <c r="AK41" s="403"/>
    </row>
    <row r="42" spans="4:37" x14ac:dyDescent="0.25">
      <c r="D42" s="120"/>
      <c r="H42" s="120"/>
      <c r="L42" s="120"/>
      <c r="P42" s="120"/>
      <c r="T42" s="120"/>
      <c r="X42" s="120"/>
      <c r="AB42" s="120"/>
      <c r="AF42" s="120"/>
      <c r="AG42" s="120"/>
      <c r="AK42" s="403"/>
    </row>
    <row r="43" spans="4:37" x14ac:dyDescent="0.25">
      <c r="D43" s="120"/>
      <c r="H43" s="120"/>
      <c r="L43" s="120"/>
      <c r="P43" s="120"/>
      <c r="T43" s="120"/>
      <c r="X43" s="120"/>
      <c r="AB43" s="120"/>
      <c r="AF43" s="120"/>
      <c r="AG43" s="120"/>
      <c r="AK43" s="403"/>
    </row>
    <row r="44" spans="4:37" x14ac:dyDescent="0.25">
      <c r="D44" s="120"/>
      <c r="H44" s="120"/>
      <c r="L44" s="120"/>
      <c r="P44" s="120"/>
      <c r="T44" s="120"/>
      <c r="X44" s="120"/>
      <c r="AB44" s="120"/>
      <c r="AF44" s="120"/>
      <c r="AG44" s="120"/>
      <c r="AK44" s="403"/>
    </row>
    <row r="45" spans="4:37" x14ac:dyDescent="0.25">
      <c r="D45" s="120"/>
      <c r="H45" s="120"/>
      <c r="L45" s="120"/>
      <c r="P45" s="120"/>
      <c r="T45" s="120"/>
      <c r="X45" s="120"/>
      <c r="AB45" s="120"/>
      <c r="AF45" s="120"/>
      <c r="AG45" s="120"/>
      <c r="AK45" s="403"/>
    </row>
    <row r="46" spans="4:37" x14ac:dyDescent="0.25">
      <c r="D46" s="120"/>
      <c r="H46" s="120"/>
      <c r="L46" s="120"/>
      <c r="P46" s="120"/>
      <c r="T46" s="120"/>
      <c r="X46" s="120"/>
      <c r="AB46" s="120"/>
      <c r="AF46" s="120"/>
      <c r="AG46" s="120"/>
      <c r="AK46" s="403"/>
    </row>
    <row r="47" spans="4:37" x14ac:dyDescent="0.25">
      <c r="D47" s="120"/>
      <c r="H47" s="120"/>
      <c r="L47" s="120"/>
      <c r="P47" s="120"/>
      <c r="T47" s="120"/>
      <c r="X47" s="120"/>
      <c r="AB47" s="120"/>
      <c r="AF47" s="120"/>
      <c r="AG47" s="120"/>
      <c r="AK47" s="403"/>
    </row>
    <row r="48" spans="4:37" x14ac:dyDescent="0.25">
      <c r="D48" s="120"/>
      <c r="H48" s="120"/>
      <c r="L48" s="120"/>
      <c r="P48" s="120"/>
      <c r="T48" s="120"/>
      <c r="X48" s="120"/>
      <c r="AB48" s="120"/>
      <c r="AF48" s="120"/>
      <c r="AG48" s="120"/>
      <c r="AK48" s="403"/>
    </row>
    <row r="49" spans="4:37" x14ac:dyDescent="0.25">
      <c r="D49" s="120"/>
      <c r="H49" s="120"/>
      <c r="L49" s="120"/>
      <c r="P49" s="120"/>
      <c r="T49" s="120"/>
      <c r="X49" s="120"/>
      <c r="AB49" s="120"/>
      <c r="AF49" s="120"/>
      <c r="AG49" s="120"/>
      <c r="AK49" s="403"/>
    </row>
    <row r="50" spans="4:37" x14ac:dyDescent="0.25">
      <c r="D50" s="120"/>
      <c r="H50" s="120"/>
      <c r="L50" s="120"/>
      <c r="P50" s="120"/>
      <c r="T50" s="120"/>
      <c r="X50" s="120"/>
      <c r="AB50" s="120"/>
      <c r="AF50" s="120"/>
      <c r="AG50" s="120"/>
      <c r="AK50" s="403"/>
    </row>
    <row r="51" spans="4:37" x14ac:dyDescent="0.25">
      <c r="D51" s="120"/>
      <c r="H51" s="120"/>
      <c r="L51" s="120"/>
      <c r="P51" s="120"/>
      <c r="T51" s="120"/>
      <c r="X51" s="120"/>
      <c r="AB51" s="120"/>
      <c r="AF51" s="120"/>
      <c r="AG51" s="120"/>
      <c r="AK51" s="403"/>
    </row>
    <row r="52" spans="4:37" x14ac:dyDescent="0.25">
      <c r="D52" s="120"/>
      <c r="H52" s="120"/>
      <c r="L52" s="120"/>
      <c r="P52" s="120"/>
      <c r="T52" s="120"/>
      <c r="X52" s="120"/>
      <c r="AB52" s="120"/>
      <c r="AF52" s="120"/>
      <c r="AG52" s="120"/>
      <c r="AK52" s="403"/>
    </row>
    <row r="53" spans="4:37" x14ac:dyDescent="0.25">
      <c r="D53" s="120"/>
      <c r="H53" s="120"/>
      <c r="L53" s="120"/>
      <c r="P53" s="120"/>
      <c r="T53" s="120"/>
      <c r="X53" s="120"/>
      <c r="AB53" s="120"/>
      <c r="AF53" s="120"/>
      <c r="AG53" s="120"/>
      <c r="AK53" s="403"/>
    </row>
    <row r="54" spans="4:37" x14ac:dyDescent="0.25">
      <c r="D54" s="120"/>
      <c r="H54" s="120"/>
      <c r="L54" s="120"/>
      <c r="P54" s="120"/>
      <c r="T54" s="120"/>
      <c r="X54" s="120"/>
      <c r="AB54" s="120"/>
      <c r="AF54" s="120"/>
      <c r="AG54" s="120"/>
      <c r="AK54" s="403"/>
    </row>
    <row r="55" spans="4:37" x14ac:dyDescent="0.25">
      <c r="D55" s="120"/>
      <c r="H55" s="120"/>
      <c r="L55" s="120"/>
      <c r="P55" s="120"/>
      <c r="T55" s="120"/>
      <c r="X55" s="120"/>
      <c r="AB55" s="120"/>
      <c r="AF55" s="120"/>
      <c r="AG55" s="120"/>
      <c r="AK55" s="403"/>
    </row>
    <row r="56" spans="4:37" x14ac:dyDescent="0.25">
      <c r="D56" s="120"/>
      <c r="H56" s="120"/>
      <c r="L56" s="120"/>
      <c r="P56" s="120"/>
      <c r="T56" s="120"/>
      <c r="X56" s="120"/>
      <c r="AB56" s="120"/>
      <c r="AF56" s="120"/>
      <c r="AG56" s="120"/>
      <c r="AK56" s="403"/>
    </row>
    <row r="57" spans="4:37" x14ac:dyDescent="0.25">
      <c r="D57" s="120"/>
      <c r="H57" s="120"/>
      <c r="L57" s="120"/>
      <c r="P57" s="120"/>
      <c r="T57" s="120"/>
      <c r="X57" s="120"/>
      <c r="AB57" s="120"/>
      <c r="AF57" s="120"/>
      <c r="AG57" s="120"/>
      <c r="AK57" s="403"/>
    </row>
    <row r="58" spans="4:37" x14ac:dyDescent="0.25">
      <c r="D58" s="120"/>
      <c r="H58" s="120"/>
      <c r="L58" s="120"/>
      <c r="P58" s="120"/>
      <c r="T58" s="120"/>
      <c r="X58" s="120"/>
      <c r="AB58" s="120"/>
      <c r="AF58" s="120"/>
      <c r="AG58" s="120"/>
      <c r="AK58" s="403"/>
    </row>
    <row r="59" spans="4:37" x14ac:dyDescent="0.25">
      <c r="D59" s="120"/>
      <c r="H59" s="120"/>
      <c r="L59" s="120"/>
      <c r="P59" s="120"/>
      <c r="T59" s="120"/>
      <c r="X59" s="120"/>
      <c r="AB59" s="120"/>
      <c r="AF59" s="120"/>
      <c r="AG59" s="120"/>
      <c r="AK59" s="403"/>
    </row>
    <row r="60" spans="4:37" x14ac:dyDescent="0.25">
      <c r="D60" s="120"/>
      <c r="H60" s="120"/>
      <c r="L60" s="120"/>
      <c r="P60" s="120"/>
      <c r="T60" s="120"/>
      <c r="X60" s="120"/>
      <c r="AB60" s="120"/>
      <c r="AF60" s="120"/>
      <c r="AG60" s="120"/>
      <c r="AK60" s="403"/>
    </row>
    <row r="61" spans="4:37" x14ac:dyDescent="0.25">
      <c r="D61" s="120"/>
      <c r="H61" s="120"/>
      <c r="L61" s="120"/>
      <c r="P61" s="120"/>
      <c r="T61" s="120"/>
      <c r="X61" s="120"/>
      <c r="AB61" s="120"/>
      <c r="AF61" s="120"/>
      <c r="AG61" s="120"/>
      <c r="AK61" s="403"/>
    </row>
    <row r="62" spans="4:37" x14ac:dyDescent="0.25">
      <c r="D62" s="120"/>
      <c r="H62" s="120"/>
      <c r="L62" s="120"/>
      <c r="P62" s="120"/>
      <c r="T62" s="120"/>
      <c r="X62" s="120"/>
      <c r="AB62" s="120"/>
      <c r="AF62" s="120"/>
      <c r="AG62" s="120"/>
      <c r="AK62" s="403"/>
    </row>
    <row r="63" spans="4:37" x14ac:dyDescent="0.25">
      <c r="D63" s="120"/>
      <c r="H63" s="120"/>
      <c r="L63" s="120"/>
      <c r="P63" s="120"/>
      <c r="T63" s="120"/>
      <c r="X63" s="120"/>
      <c r="AB63" s="120"/>
      <c r="AF63" s="120"/>
      <c r="AG63" s="120"/>
      <c r="AK63" s="403"/>
    </row>
    <row r="64" spans="4:37" x14ac:dyDescent="0.25">
      <c r="D64" s="120"/>
      <c r="H64" s="120"/>
      <c r="L64" s="120"/>
      <c r="P64" s="120"/>
      <c r="T64" s="120"/>
      <c r="X64" s="120"/>
      <c r="AB64" s="120"/>
      <c r="AF64" s="120"/>
      <c r="AG64" s="120"/>
      <c r="AK64" s="403"/>
    </row>
    <row r="65" spans="4:37" x14ac:dyDescent="0.25">
      <c r="D65" s="120"/>
      <c r="H65" s="120"/>
      <c r="L65" s="120"/>
      <c r="P65" s="120"/>
      <c r="T65" s="120"/>
      <c r="X65" s="120"/>
      <c r="AB65" s="120"/>
      <c r="AF65" s="120"/>
      <c r="AG65" s="120"/>
      <c r="AK65" s="403"/>
    </row>
    <row r="66" spans="4:37" x14ac:dyDescent="0.25">
      <c r="D66" s="120"/>
      <c r="H66" s="120"/>
      <c r="L66" s="120"/>
      <c r="P66" s="120"/>
      <c r="T66" s="120"/>
      <c r="X66" s="120"/>
      <c r="AB66" s="120"/>
      <c r="AF66" s="120"/>
      <c r="AG66" s="120"/>
      <c r="AK66" s="403"/>
    </row>
    <row r="67" spans="4:37" x14ac:dyDescent="0.25">
      <c r="D67" s="120"/>
      <c r="H67" s="120"/>
      <c r="L67" s="120"/>
      <c r="P67" s="120"/>
      <c r="T67" s="120"/>
      <c r="X67" s="120"/>
      <c r="AB67" s="120"/>
      <c r="AF67" s="120"/>
      <c r="AG67" s="120"/>
      <c r="AK67" s="403"/>
    </row>
    <row r="68" spans="4:37" x14ac:dyDescent="0.25">
      <c r="D68" s="120"/>
      <c r="H68" s="120"/>
      <c r="L68" s="120"/>
      <c r="P68" s="120"/>
      <c r="T68" s="120"/>
      <c r="X68" s="120"/>
      <c r="AB68" s="120"/>
      <c r="AF68" s="120"/>
      <c r="AG68" s="120"/>
      <c r="AK68" s="403"/>
    </row>
    <row r="69" spans="4:37" x14ac:dyDescent="0.25">
      <c r="D69" s="120"/>
      <c r="H69" s="120"/>
      <c r="L69" s="120"/>
      <c r="P69" s="120"/>
      <c r="T69" s="120"/>
      <c r="X69" s="120"/>
      <c r="AB69" s="120"/>
      <c r="AF69" s="120"/>
      <c r="AG69" s="120"/>
      <c r="AK69" s="403"/>
    </row>
    <row r="70" spans="4:37" x14ac:dyDescent="0.25">
      <c r="D70" s="120"/>
      <c r="H70" s="120"/>
      <c r="L70" s="120"/>
      <c r="P70" s="120"/>
      <c r="T70" s="120"/>
      <c r="X70" s="120"/>
      <c r="AB70" s="120"/>
      <c r="AF70" s="120"/>
      <c r="AG70" s="120"/>
      <c r="AK70" s="403"/>
    </row>
    <row r="71" spans="4:37" x14ac:dyDescent="0.25">
      <c r="D71" s="120"/>
      <c r="H71" s="120"/>
      <c r="L71" s="120"/>
      <c r="P71" s="120"/>
      <c r="T71" s="120"/>
      <c r="X71" s="120"/>
      <c r="AB71" s="120"/>
      <c r="AF71" s="120"/>
      <c r="AG71" s="120"/>
      <c r="AK71" s="403"/>
    </row>
    <row r="72" spans="4:37" x14ac:dyDescent="0.25">
      <c r="D72" s="120"/>
      <c r="H72" s="120"/>
      <c r="L72" s="120"/>
      <c r="P72" s="120"/>
      <c r="T72" s="120"/>
      <c r="X72" s="120"/>
      <c r="AB72" s="120"/>
      <c r="AF72" s="120"/>
      <c r="AG72" s="120"/>
      <c r="AK72" s="403"/>
    </row>
    <row r="73" spans="4:37" x14ac:dyDescent="0.25">
      <c r="D73" s="120"/>
      <c r="H73" s="120"/>
      <c r="L73" s="120"/>
      <c r="P73" s="120"/>
      <c r="T73" s="120"/>
      <c r="X73" s="120"/>
      <c r="AB73" s="120"/>
      <c r="AF73" s="120"/>
      <c r="AG73" s="120"/>
      <c r="AK73" s="403"/>
    </row>
    <row r="74" spans="4:37" x14ac:dyDescent="0.25">
      <c r="D74" s="120"/>
      <c r="H74" s="120"/>
      <c r="L74" s="120"/>
      <c r="P74" s="120"/>
      <c r="T74" s="120"/>
      <c r="X74" s="120"/>
      <c r="AB74" s="120"/>
      <c r="AF74" s="120"/>
      <c r="AG74" s="120"/>
      <c r="AK74" s="403"/>
    </row>
    <row r="75" spans="4:37" x14ac:dyDescent="0.25">
      <c r="D75" s="120"/>
      <c r="H75" s="120"/>
      <c r="L75" s="120"/>
      <c r="P75" s="120"/>
      <c r="T75" s="120"/>
      <c r="X75" s="120"/>
      <c r="AB75" s="120"/>
      <c r="AF75" s="120"/>
      <c r="AG75" s="120"/>
      <c r="AK75" s="403"/>
    </row>
    <row r="76" spans="4:37" x14ac:dyDescent="0.25">
      <c r="D76" s="120"/>
      <c r="H76" s="120"/>
      <c r="L76" s="120"/>
      <c r="P76" s="120"/>
      <c r="T76" s="120"/>
      <c r="X76" s="120"/>
      <c r="AB76" s="120"/>
      <c r="AF76" s="120"/>
      <c r="AG76" s="120"/>
      <c r="AK76" s="403"/>
    </row>
    <row r="77" spans="4:37" x14ac:dyDescent="0.25">
      <c r="D77" s="120"/>
      <c r="H77" s="120"/>
      <c r="L77" s="120"/>
      <c r="P77" s="120"/>
      <c r="T77" s="120"/>
      <c r="X77" s="120"/>
      <c r="AB77" s="120"/>
      <c r="AF77" s="120"/>
      <c r="AG77" s="120"/>
      <c r="AK77" s="403"/>
    </row>
    <row r="78" spans="4:37" x14ac:dyDescent="0.25">
      <c r="D78" s="120"/>
      <c r="H78" s="120"/>
      <c r="L78" s="120"/>
      <c r="P78" s="120"/>
      <c r="T78" s="120"/>
      <c r="X78" s="120"/>
      <c r="AB78" s="120"/>
      <c r="AF78" s="120"/>
      <c r="AG78" s="120"/>
      <c r="AK78" s="403"/>
    </row>
    <row r="79" spans="4:37" x14ac:dyDescent="0.25">
      <c r="D79" s="120"/>
      <c r="H79" s="120"/>
      <c r="L79" s="120"/>
      <c r="P79" s="120"/>
      <c r="T79" s="120"/>
      <c r="X79" s="120"/>
      <c r="AB79" s="120"/>
      <c r="AF79" s="120"/>
      <c r="AG79" s="120"/>
      <c r="AK79" s="403"/>
    </row>
    <row r="80" spans="4:37" x14ac:dyDescent="0.25">
      <c r="D80" s="120"/>
      <c r="H80" s="120"/>
      <c r="L80" s="120"/>
      <c r="P80" s="120"/>
      <c r="T80" s="120"/>
      <c r="X80" s="120"/>
      <c r="AB80" s="120"/>
      <c r="AF80" s="120"/>
      <c r="AG80" s="120"/>
      <c r="AK80" s="403"/>
    </row>
    <row r="81" spans="4:37" x14ac:dyDescent="0.25">
      <c r="D81" s="120"/>
      <c r="H81" s="120"/>
      <c r="L81" s="120"/>
      <c r="P81" s="120"/>
      <c r="T81" s="120"/>
      <c r="X81" s="120"/>
      <c r="AB81" s="120"/>
      <c r="AF81" s="120"/>
      <c r="AG81" s="120"/>
      <c r="AK81" s="403"/>
    </row>
    <row r="82" spans="4:37" x14ac:dyDescent="0.25">
      <c r="D82" s="120"/>
      <c r="H82" s="120"/>
      <c r="L82" s="120"/>
      <c r="P82" s="120"/>
      <c r="T82" s="120"/>
      <c r="X82" s="120"/>
      <c r="AB82" s="120"/>
      <c r="AF82" s="120"/>
      <c r="AG82" s="120"/>
      <c r="AK82" s="403"/>
    </row>
    <row r="83" spans="4:37" x14ac:dyDescent="0.25">
      <c r="D83" s="120"/>
      <c r="H83" s="120"/>
      <c r="L83" s="120"/>
      <c r="P83" s="120"/>
      <c r="T83" s="120"/>
      <c r="X83" s="120"/>
      <c r="AB83" s="120"/>
      <c r="AF83" s="120"/>
      <c r="AG83" s="120"/>
      <c r="AK83" s="403"/>
    </row>
    <row r="84" spans="4:37" x14ac:dyDescent="0.25">
      <c r="D84" s="120"/>
      <c r="H84" s="120"/>
      <c r="L84" s="120"/>
      <c r="P84" s="120"/>
      <c r="T84" s="120"/>
      <c r="X84" s="120"/>
      <c r="AB84" s="120"/>
      <c r="AF84" s="120"/>
      <c r="AG84" s="120"/>
      <c r="AK84" s="403"/>
    </row>
    <row r="85" spans="4:37" x14ac:dyDescent="0.25">
      <c r="D85" s="120"/>
      <c r="H85" s="120"/>
      <c r="L85" s="120"/>
      <c r="P85" s="120"/>
      <c r="T85" s="120"/>
      <c r="X85" s="120"/>
      <c r="AB85" s="120"/>
      <c r="AF85" s="120"/>
      <c r="AG85" s="120"/>
      <c r="AK85" s="403"/>
    </row>
    <row r="86" spans="4:37" x14ac:dyDescent="0.25">
      <c r="D86" s="120"/>
      <c r="H86" s="120"/>
      <c r="L86" s="120"/>
      <c r="P86" s="120"/>
      <c r="T86" s="120"/>
      <c r="X86" s="120"/>
      <c r="AB86" s="120"/>
      <c r="AF86" s="120"/>
      <c r="AG86" s="120"/>
      <c r="AK86" s="403"/>
    </row>
    <row r="87" spans="4:37" x14ac:dyDescent="0.25">
      <c r="D87" s="120"/>
      <c r="H87" s="120"/>
      <c r="L87" s="120"/>
      <c r="P87" s="120"/>
      <c r="T87" s="120"/>
      <c r="X87" s="120"/>
      <c r="AB87" s="120"/>
      <c r="AF87" s="120"/>
      <c r="AG87" s="120"/>
      <c r="AK87" s="403"/>
    </row>
    <row r="88" spans="4:37" x14ac:dyDescent="0.25">
      <c r="D88" s="120"/>
      <c r="H88" s="120"/>
      <c r="L88" s="120"/>
      <c r="P88" s="120"/>
      <c r="T88" s="120"/>
      <c r="X88" s="120"/>
      <c r="AB88" s="120"/>
      <c r="AF88" s="120"/>
      <c r="AG88" s="120"/>
      <c r="AK88" s="403"/>
    </row>
    <row r="89" spans="4:37" x14ac:dyDescent="0.25">
      <c r="D89" s="120"/>
      <c r="H89" s="120"/>
      <c r="L89" s="120"/>
      <c r="P89" s="120"/>
      <c r="T89" s="120"/>
      <c r="X89" s="120"/>
      <c r="AB89" s="120"/>
      <c r="AF89" s="120"/>
      <c r="AG89" s="120"/>
      <c r="AK89" s="403"/>
    </row>
    <row r="90" spans="4:37" x14ac:dyDescent="0.25">
      <c r="D90" s="120"/>
      <c r="H90" s="120"/>
      <c r="L90" s="120"/>
      <c r="P90" s="120"/>
      <c r="T90" s="120"/>
      <c r="X90" s="120"/>
      <c r="AB90" s="120"/>
      <c r="AF90" s="120"/>
      <c r="AG90" s="120"/>
      <c r="AK90" s="403"/>
    </row>
    <row r="91" spans="4:37" x14ac:dyDescent="0.25">
      <c r="D91" s="120"/>
      <c r="H91" s="120"/>
      <c r="L91" s="120"/>
      <c r="P91" s="120"/>
      <c r="T91" s="120"/>
      <c r="X91" s="120"/>
      <c r="AB91" s="120"/>
      <c r="AF91" s="120"/>
      <c r="AG91" s="120"/>
      <c r="AK91" s="403"/>
    </row>
    <row r="92" spans="4:37" x14ac:dyDescent="0.25">
      <c r="D92" s="120"/>
      <c r="H92" s="120"/>
      <c r="L92" s="120"/>
      <c r="P92" s="120"/>
      <c r="T92" s="120"/>
      <c r="X92" s="120"/>
      <c r="AB92" s="120"/>
      <c r="AF92" s="120"/>
      <c r="AG92" s="120"/>
      <c r="AK92" s="403"/>
    </row>
    <row r="93" spans="4:37" x14ac:dyDescent="0.25">
      <c r="D93" s="120"/>
      <c r="H93" s="120"/>
      <c r="L93" s="120"/>
      <c r="P93" s="120"/>
      <c r="T93" s="120"/>
      <c r="X93" s="120"/>
      <c r="AB93" s="120"/>
      <c r="AF93" s="120"/>
      <c r="AG93" s="120"/>
      <c r="AK93" s="403"/>
    </row>
    <row r="94" spans="4:37" x14ac:dyDescent="0.25">
      <c r="D94" s="120"/>
      <c r="H94" s="120"/>
      <c r="L94" s="120"/>
      <c r="P94" s="120"/>
      <c r="T94" s="120"/>
      <c r="X94" s="120"/>
      <c r="AB94" s="120"/>
      <c r="AF94" s="120"/>
      <c r="AG94" s="120"/>
      <c r="AK94" s="403"/>
    </row>
    <row r="95" spans="4:37" x14ac:dyDescent="0.25">
      <c r="D95" s="120"/>
      <c r="H95" s="120"/>
      <c r="L95" s="120"/>
      <c r="P95" s="120"/>
      <c r="T95" s="120"/>
      <c r="X95" s="120"/>
      <c r="AB95" s="120"/>
      <c r="AF95" s="120"/>
      <c r="AG95" s="120"/>
      <c r="AK95" s="403"/>
    </row>
    <row r="96" spans="4:37" x14ac:dyDescent="0.25">
      <c r="D96" s="120"/>
      <c r="H96" s="120"/>
      <c r="L96" s="120"/>
      <c r="P96" s="120"/>
      <c r="T96" s="120"/>
      <c r="X96" s="120"/>
      <c r="AB96" s="120"/>
      <c r="AF96" s="120"/>
      <c r="AG96" s="120"/>
      <c r="AK96" s="403"/>
    </row>
    <row r="97" spans="4:37" x14ac:dyDescent="0.25">
      <c r="D97" s="120"/>
      <c r="H97" s="120"/>
      <c r="L97" s="120"/>
      <c r="P97" s="120"/>
      <c r="T97" s="120"/>
      <c r="X97" s="120"/>
      <c r="AB97" s="120"/>
      <c r="AF97" s="120"/>
      <c r="AG97" s="120"/>
      <c r="AK97" s="403"/>
    </row>
    <row r="98" spans="4:37" x14ac:dyDescent="0.25">
      <c r="D98" s="120"/>
      <c r="H98" s="120"/>
      <c r="L98" s="120"/>
      <c r="P98" s="120"/>
      <c r="T98" s="120"/>
      <c r="X98" s="120"/>
      <c r="AB98" s="120"/>
      <c r="AF98" s="120"/>
      <c r="AG98" s="120"/>
      <c r="AK98" s="403"/>
    </row>
    <row r="99" spans="4:37" x14ac:dyDescent="0.25">
      <c r="D99" s="120"/>
      <c r="H99" s="120"/>
      <c r="L99" s="120"/>
      <c r="P99" s="120"/>
      <c r="T99" s="120"/>
      <c r="X99" s="120"/>
      <c r="AB99" s="120"/>
      <c r="AF99" s="120"/>
      <c r="AG99" s="120"/>
      <c r="AK99" s="403"/>
    </row>
    <row r="100" spans="4:37" x14ac:dyDescent="0.25">
      <c r="D100" s="120"/>
      <c r="H100" s="120"/>
      <c r="L100" s="120"/>
      <c r="P100" s="120"/>
      <c r="T100" s="120"/>
      <c r="X100" s="120"/>
      <c r="AB100" s="120"/>
      <c r="AF100" s="120"/>
      <c r="AG100" s="120"/>
      <c r="AK100" s="403"/>
    </row>
    <row r="101" spans="4:37" x14ac:dyDescent="0.25">
      <c r="D101" s="120"/>
      <c r="H101" s="120"/>
      <c r="L101" s="120"/>
      <c r="P101" s="120"/>
      <c r="T101" s="120"/>
      <c r="X101" s="120"/>
      <c r="AB101" s="120"/>
      <c r="AF101" s="120"/>
      <c r="AG101" s="120"/>
      <c r="AK101" s="403"/>
    </row>
    <row r="102" spans="4:37" x14ac:dyDescent="0.25">
      <c r="D102" s="120"/>
      <c r="H102" s="120"/>
      <c r="L102" s="120"/>
      <c r="P102" s="120"/>
      <c r="T102" s="120"/>
      <c r="X102" s="120"/>
      <c r="AB102" s="120"/>
      <c r="AF102" s="120"/>
      <c r="AG102" s="120"/>
      <c r="AK102" s="403"/>
    </row>
    <row r="103" spans="4:37" x14ac:dyDescent="0.25">
      <c r="D103" s="120"/>
      <c r="H103" s="120"/>
      <c r="L103" s="120"/>
      <c r="P103" s="120"/>
      <c r="T103" s="120"/>
      <c r="X103" s="120"/>
      <c r="AB103" s="120"/>
      <c r="AF103" s="120"/>
      <c r="AG103" s="120"/>
      <c r="AK103" s="403"/>
    </row>
    <row r="104" spans="4:37" x14ac:dyDescent="0.25">
      <c r="D104" s="120"/>
      <c r="H104" s="120"/>
      <c r="L104" s="120"/>
      <c r="P104" s="120"/>
      <c r="T104" s="120"/>
      <c r="X104" s="120"/>
      <c r="AB104" s="120"/>
      <c r="AF104" s="120"/>
      <c r="AG104" s="120"/>
      <c r="AK104" s="403"/>
    </row>
    <row r="105" spans="4:37" x14ac:dyDescent="0.25">
      <c r="D105" s="120"/>
      <c r="H105" s="120"/>
      <c r="L105" s="120"/>
      <c r="P105" s="120"/>
      <c r="T105" s="120"/>
      <c r="X105" s="120"/>
      <c r="AB105" s="120"/>
      <c r="AF105" s="120"/>
      <c r="AG105" s="120"/>
      <c r="AK105" s="403"/>
    </row>
    <row r="106" spans="4:37" x14ac:dyDescent="0.25">
      <c r="D106" s="120"/>
      <c r="H106" s="120"/>
      <c r="L106" s="120"/>
      <c r="P106" s="120"/>
      <c r="T106" s="120"/>
      <c r="X106" s="120"/>
      <c r="AB106" s="120"/>
      <c r="AF106" s="120"/>
      <c r="AG106" s="120"/>
      <c r="AK106" s="403"/>
    </row>
    <row r="107" spans="4:37" x14ac:dyDescent="0.25">
      <c r="D107" s="120"/>
      <c r="H107" s="120"/>
      <c r="L107" s="120"/>
      <c r="P107" s="120"/>
      <c r="T107" s="120"/>
      <c r="X107" s="120"/>
      <c r="AB107" s="120"/>
      <c r="AF107" s="120"/>
      <c r="AG107" s="120"/>
      <c r="AK107" s="403"/>
    </row>
    <row r="108" spans="4:37" x14ac:dyDescent="0.25">
      <c r="D108" s="120"/>
      <c r="H108" s="120"/>
      <c r="L108" s="120"/>
      <c r="P108" s="120"/>
      <c r="T108" s="120"/>
      <c r="X108" s="120"/>
      <c r="AB108" s="120"/>
      <c r="AF108" s="120"/>
      <c r="AG108" s="120"/>
      <c r="AK108" s="403"/>
    </row>
    <row r="109" spans="4:37" x14ac:dyDescent="0.25">
      <c r="D109" s="120"/>
      <c r="H109" s="120"/>
      <c r="L109" s="120"/>
      <c r="P109" s="120"/>
      <c r="T109" s="120"/>
      <c r="X109" s="120"/>
      <c r="AB109" s="120"/>
      <c r="AF109" s="120"/>
      <c r="AG109" s="120"/>
      <c r="AK109" s="403"/>
    </row>
    <row r="110" spans="4:37" x14ac:dyDescent="0.25">
      <c r="D110" s="120"/>
      <c r="H110" s="120"/>
      <c r="L110" s="120"/>
      <c r="P110" s="120"/>
      <c r="T110" s="120"/>
      <c r="X110" s="120"/>
      <c r="AB110" s="120"/>
      <c r="AF110" s="120"/>
      <c r="AG110" s="120"/>
      <c r="AK110" s="403"/>
    </row>
    <row r="111" spans="4:37" x14ac:dyDescent="0.25">
      <c r="D111" s="120"/>
      <c r="H111" s="120"/>
      <c r="L111" s="120"/>
      <c r="P111" s="120"/>
      <c r="T111" s="120"/>
      <c r="X111" s="120"/>
      <c r="AB111" s="120"/>
      <c r="AF111" s="120"/>
      <c r="AG111" s="120"/>
      <c r="AK111" s="403"/>
    </row>
    <row r="112" spans="4:37" x14ac:dyDescent="0.25">
      <c r="D112" s="120"/>
      <c r="H112" s="120"/>
      <c r="L112" s="120"/>
      <c r="P112" s="120"/>
      <c r="T112" s="120"/>
      <c r="X112" s="120"/>
      <c r="AB112" s="120"/>
      <c r="AF112" s="120"/>
      <c r="AG112" s="120"/>
      <c r="AK112" s="403"/>
    </row>
    <row r="113" spans="4:37" x14ac:dyDescent="0.25">
      <c r="D113" s="120"/>
      <c r="H113" s="120"/>
      <c r="L113" s="120"/>
      <c r="P113" s="120"/>
      <c r="T113" s="120"/>
      <c r="X113" s="120"/>
      <c r="AB113" s="120"/>
      <c r="AF113" s="120"/>
      <c r="AG113" s="120"/>
      <c r="AK113" s="403"/>
    </row>
    <row r="114" spans="4:37" x14ac:dyDescent="0.25">
      <c r="D114" s="120"/>
      <c r="H114" s="120"/>
      <c r="L114" s="120"/>
      <c r="P114" s="120"/>
      <c r="T114" s="120"/>
      <c r="X114" s="120"/>
      <c r="AB114" s="120"/>
      <c r="AF114" s="120"/>
      <c r="AG114" s="120"/>
      <c r="AK114" s="403"/>
    </row>
    <row r="115" spans="4:37" x14ac:dyDescent="0.25">
      <c r="D115" s="120"/>
      <c r="H115" s="120"/>
      <c r="L115" s="120"/>
      <c r="P115" s="120"/>
      <c r="T115" s="120"/>
      <c r="X115" s="120"/>
      <c r="AB115" s="120"/>
      <c r="AF115" s="120"/>
      <c r="AG115" s="120"/>
      <c r="AK115" s="403"/>
    </row>
    <row r="116" spans="4:37" x14ac:dyDescent="0.25">
      <c r="D116" s="120"/>
      <c r="H116" s="120"/>
      <c r="L116" s="120"/>
      <c r="P116" s="120"/>
      <c r="T116" s="120"/>
      <c r="X116" s="120"/>
      <c r="AB116" s="120"/>
      <c r="AF116" s="120"/>
      <c r="AG116" s="120"/>
      <c r="AK116" s="403"/>
    </row>
    <row r="117" spans="4:37" x14ac:dyDescent="0.25">
      <c r="D117" s="120"/>
      <c r="H117" s="120"/>
      <c r="L117" s="120"/>
      <c r="P117" s="120"/>
      <c r="T117" s="120"/>
      <c r="X117" s="120"/>
      <c r="AB117" s="120"/>
      <c r="AF117" s="120"/>
      <c r="AG117" s="120"/>
      <c r="AK117" s="403"/>
    </row>
    <row r="118" spans="4:37" x14ac:dyDescent="0.25">
      <c r="D118" s="120"/>
      <c r="H118" s="120"/>
      <c r="L118" s="120"/>
      <c r="P118" s="120"/>
      <c r="T118" s="120"/>
      <c r="X118" s="120"/>
      <c r="AB118" s="120"/>
      <c r="AF118" s="120"/>
      <c r="AG118" s="120"/>
      <c r="AK118" s="403"/>
    </row>
    <row r="119" spans="4:37" x14ac:dyDescent="0.25">
      <c r="D119" s="120"/>
      <c r="H119" s="120"/>
      <c r="L119" s="120"/>
      <c r="P119" s="120"/>
      <c r="T119" s="120"/>
      <c r="X119" s="120"/>
      <c r="AB119" s="120"/>
      <c r="AF119" s="120"/>
      <c r="AG119" s="120"/>
      <c r="AK119" s="403"/>
    </row>
    <row r="120" spans="4:37" x14ac:dyDescent="0.25">
      <c r="D120" s="120"/>
      <c r="H120" s="120"/>
      <c r="L120" s="120"/>
      <c r="P120" s="120"/>
      <c r="T120" s="120"/>
      <c r="X120" s="120"/>
      <c r="AB120" s="120"/>
      <c r="AF120" s="120"/>
      <c r="AG120" s="120"/>
      <c r="AK120" s="403"/>
    </row>
    <row r="121" spans="4:37" x14ac:dyDescent="0.25">
      <c r="D121" s="120"/>
      <c r="H121" s="120"/>
      <c r="L121" s="120"/>
      <c r="P121" s="120"/>
      <c r="T121" s="120"/>
      <c r="X121" s="120"/>
      <c r="AB121" s="120"/>
      <c r="AF121" s="120"/>
      <c r="AG121" s="120"/>
      <c r="AK121" s="403"/>
    </row>
    <row r="122" spans="4:37" x14ac:dyDescent="0.25">
      <c r="D122" s="403" t="s">
        <v>1511</v>
      </c>
      <c r="E122" s="211">
        <v>30.35</v>
      </c>
      <c r="F122" s="211">
        <v>25</v>
      </c>
      <c r="G122" s="397"/>
      <c r="H122" s="403"/>
      <c r="I122" s="394"/>
      <c r="J122" s="394"/>
      <c r="L122" s="120"/>
      <c r="P122" s="120"/>
      <c r="T122" s="120"/>
      <c r="X122" s="120"/>
      <c r="AB122" s="120"/>
      <c r="AF122" s="120"/>
      <c r="AG122" s="120"/>
      <c r="AK122" s="403"/>
    </row>
    <row r="123" spans="4:37" x14ac:dyDescent="0.25">
      <c r="D123" s="120"/>
      <c r="H123" s="120"/>
      <c r="L123" s="120"/>
      <c r="P123" s="120"/>
      <c r="T123" s="120"/>
      <c r="X123" s="120"/>
      <c r="AB123" s="120"/>
      <c r="AF123" s="120"/>
      <c r="AG123" s="120"/>
      <c r="AK123" s="403"/>
    </row>
    <row r="124" spans="4:37" x14ac:dyDescent="0.25">
      <c r="D124" s="120"/>
      <c r="H124" s="120"/>
      <c r="L124" s="120"/>
      <c r="P124" s="120"/>
      <c r="T124" s="120"/>
      <c r="X124" s="120"/>
      <c r="AB124" s="120"/>
      <c r="AF124" s="120"/>
      <c r="AG124" s="120"/>
      <c r="AK124" s="403"/>
    </row>
    <row r="125" spans="4:37" x14ac:dyDescent="0.25">
      <c r="D125" s="120"/>
      <c r="H125" s="120"/>
      <c r="L125" s="120"/>
      <c r="P125" s="120"/>
      <c r="T125" s="120"/>
      <c r="X125" s="120"/>
      <c r="AB125" s="120"/>
      <c r="AF125" s="120"/>
      <c r="AG125" s="120"/>
      <c r="AK125" s="403"/>
    </row>
    <row r="126" spans="4:37" x14ac:dyDescent="0.25">
      <c r="D126" s="120"/>
      <c r="H126" s="120"/>
      <c r="L126" s="120"/>
      <c r="P126" s="120"/>
      <c r="T126" s="120"/>
      <c r="X126" s="120"/>
      <c r="AB126" s="120"/>
      <c r="AF126" s="120"/>
      <c r="AG126" s="120"/>
      <c r="AK126" s="403"/>
    </row>
    <row r="127" spans="4:37" x14ac:dyDescent="0.25">
      <c r="D127" s="120"/>
      <c r="H127" s="120"/>
      <c r="L127" s="120"/>
      <c r="P127" s="120"/>
      <c r="T127" s="120"/>
      <c r="X127" s="120"/>
      <c r="AB127" s="120"/>
      <c r="AF127" s="120"/>
      <c r="AG127" s="120"/>
      <c r="AK127" s="403"/>
    </row>
    <row r="128" spans="4:37" x14ac:dyDescent="0.25">
      <c r="D128" s="120"/>
      <c r="H128" s="120"/>
      <c r="L128" s="120"/>
      <c r="P128" s="120"/>
      <c r="T128" s="120"/>
      <c r="X128" s="120"/>
      <c r="AB128" s="120"/>
      <c r="AF128" s="120"/>
      <c r="AG128" s="120"/>
      <c r="AK128" s="403"/>
    </row>
    <row r="129" spans="4:37" x14ac:dyDescent="0.25">
      <c r="D129" s="120"/>
      <c r="H129" s="120"/>
      <c r="L129" s="120"/>
      <c r="P129" s="120"/>
      <c r="T129" s="120"/>
      <c r="X129" s="120"/>
      <c r="AB129" s="120"/>
      <c r="AF129" s="120"/>
      <c r="AG129" s="120"/>
      <c r="AK129" s="403"/>
    </row>
    <row r="130" spans="4:37" x14ac:dyDescent="0.25">
      <c r="D130" s="120"/>
      <c r="H130" s="120"/>
      <c r="L130" s="120"/>
      <c r="P130" s="120"/>
      <c r="T130" s="120"/>
      <c r="X130" s="120"/>
      <c r="AB130" s="120"/>
      <c r="AF130" s="120"/>
      <c r="AG130" s="120"/>
      <c r="AK130" s="403"/>
    </row>
    <row r="131" spans="4:37" x14ac:dyDescent="0.25">
      <c r="D131" s="120"/>
      <c r="H131" s="120"/>
      <c r="L131" s="120"/>
      <c r="P131" s="120"/>
      <c r="T131" s="120"/>
      <c r="X131" s="120"/>
      <c r="AB131" s="120"/>
      <c r="AF131" s="120"/>
      <c r="AG131" s="120"/>
      <c r="AK131" s="403"/>
    </row>
    <row r="132" spans="4:37" x14ac:dyDescent="0.25">
      <c r="D132" s="120"/>
      <c r="H132" s="120"/>
      <c r="L132" s="120"/>
      <c r="P132" s="120"/>
      <c r="T132" s="120"/>
      <c r="X132" s="120"/>
      <c r="AB132" s="120"/>
      <c r="AF132" s="120"/>
      <c r="AG132" s="120"/>
      <c r="AK132" s="403"/>
    </row>
    <row r="133" spans="4:37" x14ac:dyDescent="0.25">
      <c r="D133" s="120"/>
      <c r="H133" s="120"/>
      <c r="L133" s="120"/>
      <c r="P133" s="120"/>
      <c r="T133" s="120"/>
      <c r="X133" s="120"/>
      <c r="AB133" s="120"/>
      <c r="AF133" s="120"/>
      <c r="AG133" s="120"/>
      <c r="AK133" s="403"/>
    </row>
    <row r="134" spans="4:37" x14ac:dyDescent="0.25">
      <c r="D134" s="120"/>
      <c r="H134" s="120"/>
      <c r="L134" s="120"/>
      <c r="P134" s="120"/>
      <c r="T134" s="120"/>
      <c r="X134" s="120"/>
      <c r="AB134" s="120"/>
      <c r="AF134" s="120"/>
      <c r="AG134" s="120"/>
      <c r="AK134" s="403"/>
    </row>
    <row r="135" spans="4:37" x14ac:dyDescent="0.25">
      <c r="D135" s="120"/>
      <c r="H135" s="120"/>
      <c r="L135" s="120"/>
      <c r="P135" s="120"/>
      <c r="T135" s="120"/>
      <c r="X135" s="120"/>
      <c r="AB135" s="120"/>
      <c r="AF135" s="120"/>
      <c r="AG135" s="120"/>
      <c r="AK135" s="403"/>
    </row>
    <row r="136" spans="4:37" x14ac:dyDescent="0.25">
      <c r="D136" s="120"/>
      <c r="H136" s="120"/>
      <c r="L136" s="120"/>
      <c r="P136" s="120"/>
      <c r="T136" s="120"/>
      <c r="X136" s="120"/>
      <c r="AB136" s="120"/>
      <c r="AF136" s="120"/>
      <c r="AG136" s="120"/>
      <c r="AK136" s="403"/>
    </row>
    <row r="137" spans="4:37" x14ac:dyDescent="0.25">
      <c r="D137" s="120"/>
      <c r="H137" s="120"/>
      <c r="L137" s="120"/>
      <c r="P137" s="120"/>
      <c r="T137" s="120"/>
      <c r="X137" s="120"/>
      <c r="AB137" s="120"/>
      <c r="AF137" s="120"/>
      <c r="AG137" s="120"/>
      <c r="AK137" s="403"/>
    </row>
    <row r="138" spans="4:37" x14ac:dyDescent="0.25">
      <c r="D138" s="120"/>
      <c r="H138" s="120"/>
      <c r="L138" s="120"/>
      <c r="P138" s="120"/>
      <c r="T138" s="120"/>
      <c r="X138" s="120"/>
      <c r="AB138" s="120"/>
      <c r="AF138" s="120"/>
      <c r="AG138" s="120"/>
      <c r="AK138" s="403"/>
    </row>
    <row r="139" spans="4:37" x14ac:dyDescent="0.25">
      <c r="D139" s="120"/>
      <c r="H139" s="120"/>
      <c r="L139" s="120"/>
      <c r="P139" s="120"/>
      <c r="T139" s="120"/>
      <c r="X139" s="120"/>
      <c r="AB139" s="120"/>
      <c r="AF139" s="120"/>
      <c r="AG139" s="120"/>
      <c r="AK139" s="403"/>
    </row>
    <row r="140" spans="4:37" x14ac:dyDescent="0.25">
      <c r="D140" s="120"/>
      <c r="H140" s="120"/>
      <c r="L140" s="120"/>
      <c r="P140" s="120"/>
      <c r="T140" s="120"/>
      <c r="X140" s="120"/>
      <c r="AB140" s="120"/>
      <c r="AF140" s="120"/>
      <c r="AG140" s="120"/>
      <c r="AK140" s="403"/>
    </row>
    <row r="141" spans="4:37" x14ac:dyDescent="0.25">
      <c r="D141" s="120"/>
      <c r="H141" s="120"/>
      <c r="L141" s="120"/>
      <c r="P141" s="120"/>
      <c r="T141" s="120"/>
      <c r="X141" s="120"/>
      <c r="AB141" s="120"/>
      <c r="AF141" s="120"/>
      <c r="AG141" s="120"/>
      <c r="AK141" s="403"/>
    </row>
    <row r="142" spans="4:37" x14ac:dyDescent="0.25">
      <c r="D142" s="120"/>
      <c r="H142" s="120"/>
      <c r="L142" s="120"/>
      <c r="P142" s="120"/>
      <c r="T142" s="120"/>
      <c r="X142" s="120"/>
      <c r="AB142" s="120"/>
      <c r="AF142" s="120"/>
      <c r="AG142" s="120"/>
      <c r="AK142" s="403"/>
    </row>
    <row r="143" spans="4:37" x14ac:dyDescent="0.25">
      <c r="D143" s="120"/>
      <c r="H143" s="120"/>
      <c r="L143" s="120"/>
      <c r="P143" s="120"/>
      <c r="T143" s="120"/>
      <c r="X143" s="120"/>
      <c r="AB143" s="120"/>
      <c r="AF143" s="120"/>
      <c r="AG143" s="120"/>
      <c r="AK143" s="403"/>
    </row>
    <row r="144" spans="4:37" x14ac:dyDescent="0.25">
      <c r="D144" s="120"/>
      <c r="H144" s="120"/>
      <c r="L144" s="120"/>
      <c r="P144" s="120"/>
      <c r="T144" s="120"/>
      <c r="X144" s="120"/>
      <c r="AB144" s="120"/>
      <c r="AF144" s="120"/>
      <c r="AG144" s="120"/>
      <c r="AK144" s="403"/>
    </row>
    <row r="145" spans="4:37" x14ac:dyDescent="0.25">
      <c r="D145" s="120"/>
      <c r="H145" s="120"/>
      <c r="L145" s="120"/>
      <c r="P145" s="120"/>
      <c r="T145" s="120"/>
      <c r="X145" s="120"/>
      <c r="AB145" s="120"/>
      <c r="AF145" s="120"/>
      <c r="AG145" s="120"/>
      <c r="AK145" s="403"/>
    </row>
    <row r="146" spans="4:37" x14ac:dyDescent="0.25">
      <c r="D146" s="120"/>
      <c r="H146" s="120"/>
      <c r="L146" s="120"/>
      <c r="P146" s="120"/>
      <c r="T146" s="120"/>
      <c r="X146" s="120"/>
      <c r="AB146" s="120"/>
      <c r="AF146" s="120"/>
      <c r="AG146" s="120"/>
      <c r="AK146" s="403"/>
    </row>
    <row r="147" spans="4:37" x14ac:dyDescent="0.25">
      <c r="D147" s="120"/>
      <c r="H147" s="120"/>
      <c r="L147" s="120"/>
      <c r="P147" s="120"/>
      <c r="T147" s="120"/>
      <c r="X147" s="120"/>
      <c r="AB147" s="120"/>
      <c r="AF147" s="120"/>
      <c r="AG147" s="120"/>
      <c r="AK147" s="403"/>
    </row>
    <row r="148" spans="4:37" x14ac:dyDescent="0.25">
      <c r="D148" s="120"/>
      <c r="H148" s="120"/>
      <c r="L148" s="120"/>
      <c r="P148" s="120"/>
      <c r="T148" s="120"/>
      <c r="X148" s="120"/>
      <c r="AB148" s="120"/>
      <c r="AF148" s="120"/>
      <c r="AG148" s="120"/>
      <c r="AK148" s="403"/>
    </row>
    <row r="149" spans="4:37" x14ac:dyDescent="0.25">
      <c r="D149" s="120"/>
      <c r="H149" s="120"/>
      <c r="L149" s="120"/>
      <c r="P149" s="120"/>
      <c r="T149" s="120"/>
      <c r="X149" s="120"/>
      <c r="AB149" s="120"/>
      <c r="AF149" s="120"/>
      <c r="AG149" s="120"/>
      <c r="AK149" s="403"/>
    </row>
    <row r="150" spans="4:37" x14ac:dyDescent="0.25">
      <c r="D150" s="120"/>
      <c r="H150" s="120"/>
      <c r="L150" s="120"/>
      <c r="P150" s="120"/>
      <c r="T150" s="120"/>
      <c r="X150" s="120"/>
      <c r="AB150" s="120"/>
      <c r="AF150" s="120"/>
      <c r="AG150" s="120"/>
      <c r="AK150" s="403"/>
    </row>
    <row r="151" spans="4:37" x14ac:dyDescent="0.25">
      <c r="D151" s="120"/>
      <c r="H151" s="120"/>
      <c r="L151" s="120"/>
      <c r="P151" s="120"/>
      <c r="T151" s="120"/>
      <c r="X151" s="120"/>
      <c r="AB151" s="120"/>
      <c r="AF151" s="120"/>
      <c r="AG151" s="120"/>
      <c r="AK151" s="403"/>
    </row>
    <row r="152" spans="4:37" x14ac:dyDescent="0.25">
      <c r="D152" s="120"/>
      <c r="H152" s="120"/>
      <c r="L152" s="120"/>
      <c r="P152" s="120"/>
      <c r="T152" s="120"/>
      <c r="X152" s="120"/>
      <c r="AB152" s="120"/>
      <c r="AF152" s="120"/>
      <c r="AG152" s="120"/>
      <c r="AK152" s="403"/>
    </row>
    <row r="153" spans="4:37" x14ac:dyDescent="0.25">
      <c r="D153" s="120"/>
      <c r="H153" s="120"/>
      <c r="L153" s="120"/>
      <c r="P153" s="120"/>
      <c r="T153" s="120"/>
      <c r="X153" s="120"/>
      <c r="AB153" s="120"/>
      <c r="AF153" s="120"/>
      <c r="AG153" s="120"/>
      <c r="AK153" s="403"/>
    </row>
    <row r="154" spans="4:37" x14ac:dyDescent="0.25">
      <c r="D154" s="120"/>
      <c r="H154" s="120"/>
      <c r="L154" s="120"/>
      <c r="P154" s="120"/>
      <c r="T154" s="120"/>
      <c r="X154" s="120"/>
      <c r="AB154" s="120"/>
      <c r="AF154" s="120"/>
      <c r="AG154" s="120"/>
      <c r="AK154" s="403"/>
    </row>
    <row r="155" spans="4:37" x14ac:dyDescent="0.25">
      <c r="D155" s="120"/>
      <c r="H155" s="120"/>
      <c r="L155" s="120"/>
      <c r="P155" s="120"/>
      <c r="T155" s="120"/>
      <c r="X155" s="120"/>
      <c r="AB155" s="120"/>
      <c r="AF155" s="120"/>
      <c r="AG155" s="120"/>
      <c r="AK155" s="403"/>
    </row>
    <row r="156" spans="4:37" x14ac:dyDescent="0.25">
      <c r="D156" s="120"/>
      <c r="H156" s="120"/>
      <c r="L156" s="120"/>
      <c r="P156" s="120"/>
      <c r="T156" s="120"/>
      <c r="X156" s="120"/>
      <c r="AB156" s="120"/>
      <c r="AF156" s="120"/>
      <c r="AG156" s="120"/>
      <c r="AK156" s="403"/>
    </row>
    <row r="157" spans="4:37" x14ac:dyDescent="0.25">
      <c r="D157" s="120"/>
      <c r="H157" s="120"/>
      <c r="L157" s="120"/>
      <c r="P157" s="120"/>
      <c r="T157" s="120"/>
      <c r="X157" s="120"/>
      <c r="AB157" s="120"/>
      <c r="AF157" s="120"/>
      <c r="AG157" s="120"/>
      <c r="AK157" s="403"/>
    </row>
    <row r="158" spans="4:37" x14ac:dyDescent="0.25">
      <c r="D158" s="120"/>
      <c r="H158" s="120"/>
      <c r="L158" s="120"/>
      <c r="P158" s="120"/>
      <c r="T158" s="120"/>
      <c r="X158" s="120"/>
      <c r="AB158" s="120"/>
      <c r="AF158" s="120"/>
      <c r="AG158" s="120"/>
      <c r="AK158" s="403"/>
    </row>
    <row r="159" spans="4:37" x14ac:dyDescent="0.25">
      <c r="D159" s="120"/>
      <c r="H159" s="120"/>
      <c r="L159" s="120"/>
      <c r="P159" s="120"/>
      <c r="T159" s="120"/>
      <c r="X159" s="120"/>
      <c r="AB159" s="120"/>
      <c r="AF159" s="120"/>
      <c r="AG159" s="120"/>
      <c r="AK159" s="403"/>
    </row>
    <row r="160" spans="4:37" x14ac:dyDescent="0.25">
      <c r="D160" s="120"/>
      <c r="H160" s="120"/>
      <c r="L160" s="120"/>
      <c r="P160" s="120"/>
      <c r="T160" s="120"/>
      <c r="X160" s="120"/>
      <c r="AB160" s="120"/>
      <c r="AF160" s="120"/>
      <c r="AG160" s="120"/>
      <c r="AK160" s="403"/>
    </row>
    <row r="161" spans="4:37" x14ac:dyDescent="0.25">
      <c r="D161" s="120"/>
      <c r="H161" s="120"/>
      <c r="L161" s="120"/>
      <c r="P161" s="120"/>
      <c r="T161" s="120"/>
      <c r="X161" s="120"/>
      <c r="AB161" s="120"/>
      <c r="AF161" s="120"/>
      <c r="AG161" s="120"/>
      <c r="AK161" s="403"/>
    </row>
    <row r="162" spans="4:37" x14ac:dyDescent="0.25">
      <c r="D162" s="120"/>
      <c r="H162" s="120"/>
      <c r="L162" s="120"/>
      <c r="P162" s="120"/>
      <c r="T162" s="120"/>
      <c r="X162" s="120"/>
      <c r="AB162" s="120"/>
      <c r="AF162" s="120"/>
      <c r="AG162" s="120"/>
      <c r="AK162" s="403"/>
    </row>
    <row r="163" spans="4:37" x14ac:dyDescent="0.25">
      <c r="D163" s="120"/>
      <c r="H163" s="120"/>
      <c r="L163" s="120"/>
      <c r="P163" s="120"/>
      <c r="T163" s="120"/>
      <c r="X163" s="120"/>
      <c r="AB163" s="120"/>
      <c r="AF163" s="120"/>
      <c r="AG163" s="120"/>
      <c r="AK163" s="403"/>
    </row>
    <row r="164" spans="4:37" x14ac:dyDescent="0.25">
      <c r="D164" s="120"/>
      <c r="H164" s="120"/>
      <c r="L164" s="120"/>
      <c r="P164" s="120"/>
      <c r="T164" s="120"/>
      <c r="X164" s="120"/>
      <c r="AB164" s="120"/>
      <c r="AF164" s="120"/>
      <c r="AG164" s="120"/>
      <c r="AK164" s="403"/>
    </row>
    <row r="165" spans="4:37" x14ac:dyDescent="0.25">
      <c r="D165" s="120"/>
      <c r="H165" s="120"/>
      <c r="L165" s="120"/>
      <c r="P165" s="120"/>
      <c r="T165" s="120"/>
      <c r="X165" s="120"/>
      <c r="AB165" s="120"/>
      <c r="AF165" s="120"/>
      <c r="AG165" s="120"/>
      <c r="AK165" s="403"/>
    </row>
    <row r="166" spans="4:37" x14ac:dyDescent="0.25">
      <c r="D166" s="120"/>
      <c r="H166" s="120"/>
      <c r="L166" s="120"/>
      <c r="P166" s="120"/>
      <c r="T166" s="120"/>
      <c r="X166" s="120"/>
      <c r="AB166" s="120"/>
      <c r="AF166" s="120"/>
      <c r="AG166" s="120"/>
      <c r="AK166" s="403"/>
    </row>
    <row r="167" spans="4:37" x14ac:dyDescent="0.25">
      <c r="D167" s="120"/>
      <c r="H167" s="120"/>
      <c r="L167" s="120"/>
      <c r="P167" s="120"/>
      <c r="T167" s="120"/>
      <c r="X167" s="120"/>
      <c r="AB167" s="120"/>
      <c r="AF167" s="120"/>
      <c r="AG167" s="120"/>
      <c r="AK167" s="403"/>
    </row>
    <row r="168" spans="4:37" x14ac:dyDescent="0.25">
      <c r="D168" s="120"/>
      <c r="H168" s="120"/>
      <c r="L168" s="120"/>
      <c r="P168" s="120"/>
      <c r="T168" s="120"/>
      <c r="X168" s="120"/>
      <c r="AB168" s="120"/>
      <c r="AF168" s="120"/>
      <c r="AG168" s="120"/>
      <c r="AK168" s="403"/>
    </row>
    <row r="169" spans="4:37" x14ac:dyDescent="0.25">
      <c r="D169" s="120"/>
      <c r="H169" s="120"/>
      <c r="L169" s="120"/>
      <c r="P169" s="120"/>
      <c r="T169" s="120"/>
      <c r="X169" s="120"/>
      <c r="AB169" s="120"/>
      <c r="AF169" s="120"/>
      <c r="AG169" s="120"/>
      <c r="AK169" s="403"/>
    </row>
    <row r="170" spans="4:37" x14ac:dyDescent="0.25">
      <c r="D170" s="120"/>
      <c r="H170" s="120"/>
      <c r="L170" s="120"/>
      <c r="P170" s="120"/>
      <c r="T170" s="120"/>
      <c r="X170" s="120"/>
      <c r="AB170" s="120"/>
      <c r="AF170" s="120"/>
      <c r="AG170" s="120"/>
      <c r="AK170" s="403"/>
    </row>
    <row r="171" spans="4:37" x14ac:dyDescent="0.25">
      <c r="D171" s="120"/>
      <c r="H171" s="120"/>
      <c r="L171" s="120"/>
      <c r="P171" s="120"/>
      <c r="T171" s="120"/>
      <c r="X171" s="120"/>
      <c r="AB171" s="120"/>
      <c r="AF171" s="120"/>
      <c r="AG171" s="120"/>
      <c r="AK171" s="403"/>
    </row>
    <row r="172" spans="4:37" x14ac:dyDescent="0.25">
      <c r="D172" s="120"/>
      <c r="H172" s="120"/>
      <c r="L172" s="120"/>
      <c r="P172" s="120"/>
      <c r="T172" s="120"/>
      <c r="X172" s="120"/>
      <c r="AB172" s="120"/>
      <c r="AF172" s="120"/>
      <c r="AG172" s="120"/>
      <c r="AK172" s="403"/>
    </row>
    <row r="173" spans="4:37" x14ac:dyDescent="0.25">
      <c r="D173" s="120"/>
      <c r="H173" s="120"/>
      <c r="L173" s="120"/>
      <c r="P173" s="120"/>
      <c r="T173" s="120"/>
      <c r="X173" s="120"/>
      <c r="AB173" s="120"/>
      <c r="AF173" s="120"/>
      <c r="AG173" s="120"/>
      <c r="AK173" s="403"/>
    </row>
    <row r="174" spans="4:37" x14ac:dyDescent="0.25">
      <c r="D174" s="120"/>
      <c r="H174" s="120"/>
      <c r="L174" s="120"/>
      <c r="P174" s="120"/>
      <c r="T174" s="120"/>
      <c r="X174" s="120"/>
      <c r="AB174" s="120"/>
      <c r="AF174" s="120"/>
      <c r="AG174" s="120"/>
      <c r="AK174" s="403"/>
    </row>
    <row r="175" spans="4:37" x14ac:dyDescent="0.25">
      <c r="D175" s="120"/>
      <c r="H175" s="120"/>
      <c r="L175" s="120"/>
      <c r="P175" s="120"/>
      <c r="T175" s="120"/>
      <c r="X175" s="120"/>
      <c r="AB175" s="120"/>
      <c r="AF175" s="120"/>
      <c r="AG175" s="120"/>
      <c r="AK175" s="403"/>
    </row>
    <row r="176" spans="4:37" x14ac:dyDescent="0.25">
      <c r="D176" s="120"/>
      <c r="H176" s="120"/>
      <c r="L176" s="120"/>
      <c r="P176" s="120"/>
      <c r="T176" s="120"/>
      <c r="X176" s="120"/>
      <c r="AB176" s="120"/>
      <c r="AF176" s="120"/>
      <c r="AG176" s="120"/>
      <c r="AK176" s="403"/>
    </row>
    <row r="177" spans="4:37" x14ac:dyDescent="0.25">
      <c r="D177" s="120"/>
      <c r="H177" s="120"/>
      <c r="L177" s="120"/>
      <c r="P177" s="120"/>
      <c r="T177" s="120"/>
      <c r="X177" s="120"/>
      <c r="AB177" s="120"/>
      <c r="AF177" s="120"/>
      <c r="AG177" s="120"/>
      <c r="AK177" s="403"/>
    </row>
    <row r="178" spans="4:37" x14ac:dyDescent="0.25">
      <c r="D178" s="120"/>
      <c r="H178" s="120"/>
      <c r="L178" s="120"/>
      <c r="P178" s="120"/>
      <c r="T178" s="120"/>
      <c r="X178" s="120"/>
      <c r="AB178" s="120"/>
      <c r="AF178" s="120"/>
      <c r="AG178" s="120"/>
      <c r="AK178" s="403"/>
    </row>
    <row r="179" spans="4:37" x14ac:dyDescent="0.25">
      <c r="D179" s="120"/>
      <c r="H179" s="120"/>
      <c r="L179" s="120"/>
      <c r="P179" s="120"/>
      <c r="T179" s="120"/>
      <c r="X179" s="120"/>
      <c r="AB179" s="120"/>
      <c r="AF179" s="120"/>
      <c r="AG179" s="120"/>
      <c r="AK179" s="403"/>
    </row>
    <row r="180" spans="4:37" x14ac:dyDescent="0.25">
      <c r="D180" s="120"/>
      <c r="H180" s="120"/>
      <c r="L180" s="120"/>
      <c r="P180" s="120"/>
      <c r="T180" s="120"/>
      <c r="X180" s="120"/>
      <c r="AB180" s="120"/>
      <c r="AF180" s="120"/>
      <c r="AG180" s="120"/>
      <c r="AK180" s="403"/>
    </row>
    <row r="181" spans="4:37" x14ac:dyDescent="0.25">
      <c r="D181" s="120"/>
      <c r="H181" s="120"/>
      <c r="L181" s="120"/>
      <c r="P181" s="120"/>
      <c r="T181" s="120"/>
      <c r="X181" s="120"/>
      <c r="AB181" s="120"/>
      <c r="AF181" s="120"/>
      <c r="AG181" s="120"/>
      <c r="AK181" s="403"/>
    </row>
    <row r="182" spans="4:37" x14ac:dyDescent="0.25">
      <c r="D182" s="120"/>
      <c r="H182" s="120"/>
      <c r="L182" s="120"/>
      <c r="P182" s="120"/>
      <c r="T182" s="120"/>
      <c r="X182" s="120"/>
      <c r="AB182" s="120"/>
      <c r="AF182" s="120"/>
      <c r="AG182" s="120"/>
      <c r="AK182" s="403"/>
    </row>
    <row r="183" spans="4:37" x14ac:dyDescent="0.25">
      <c r="D183" s="120"/>
      <c r="H183" s="120"/>
      <c r="L183" s="120"/>
      <c r="P183" s="120"/>
      <c r="T183" s="120"/>
      <c r="X183" s="120"/>
      <c r="AB183" s="120"/>
      <c r="AF183" s="120"/>
      <c r="AG183" s="120"/>
      <c r="AK183" s="403"/>
    </row>
    <row r="184" spans="4:37" x14ac:dyDescent="0.25">
      <c r="D184" s="120"/>
      <c r="H184" s="120"/>
      <c r="L184" s="120"/>
      <c r="P184" s="120"/>
      <c r="T184" s="120"/>
      <c r="X184" s="120"/>
      <c r="AB184" s="120"/>
      <c r="AF184" s="120"/>
      <c r="AG184" s="120"/>
      <c r="AK184" s="403"/>
    </row>
    <row r="185" spans="4:37" x14ac:dyDescent="0.25">
      <c r="D185" s="120"/>
      <c r="H185" s="120"/>
      <c r="L185" s="120"/>
      <c r="P185" s="120"/>
      <c r="T185" s="120"/>
      <c r="X185" s="120"/>
      <c r="AB185" s="120"/>
      <c r="AF185" s="120"/>
      <c r="AG185" s="120"/>
      <c r="AK185" s="403"/>
    </row>
    <row r="186" spans="4:37" x14ac:dyDescent="0.25">
      <c r="D186" s="120"/>
      <c r="H186" s="120"/>
      <c r="L186" s="120"/>
      <c r="P186" s="120"/>
      <c r="T186" s="120"/>
      <c r="X186" s="120"/>
      <c r="AB186" s="120"/>
      <c r="AF186" s="120"/>
      <c r="AG186" s="120"/>
      <c r="AK186" s="403"/>
    </row>
    <row r="187" spans="4:37" x14ac:dyDescent="0.25">
      <c r="D187" s="120"/>
      <c r="H187" s="120"/>
      <c r="L187" s="120"/>
      <c r="P187" s="120"/>
      <c r="T187" s="120"/>
      <c r="X187" s="120"/>
      <c r="AB187" s="120"/>
      <c r="AF187" s="120"/>
      <c r="AG187" s="120"/>
      <c r="AK187" s="403"/>
    </row>
    <row r="188" spans="4:37" x14ac:dyDescent="0.25">
      <c r="D188" s="120"/>
      <c r="H188" s="120"/>
      <c r="L188" s="120"/>
      <c r="P188" s="120"/>
      <c r="T188" s="120"/>
      <c r="X188" s="120"/>
      <c r="AB188" s="120"/>
      <c r="AF188" s="120"/>
      <c r="AG188" s="120"/>
      <c r="AK188" s="403"/>
    </row>
    <row r="189" spans="4:37" x14ac:dyDescent="0.25">
      <c r="D189" s="120"/>
      <c r="H189" s="120"/>
      <c r="L189" s="120"/>
      <c r="P189" s="120"/>
      <c r="T189" s="120"/>
      <c r="X189" s="120"/>
      <c r="AB189" s="120"/>
      <c r="AF189" s="120"/>
      <c r="AG189" s="120"/>
      <c r="AK189" s="403"/>
    </row>
    <row r="190" spans="4:37" x14ac:dyDescent="0.25">
      <c r="D190" s="120"/>
      <c r="H190" s="120"/>
      <c r="L190" s="120"/>
      <c r="P190" s="120"/>
      <c r="T190" s="120"/>
      <c r="X190" s="120"/>
      <c r="AB190" s="120"/>
      <c r="AF190" s="120"/>
      <c r="AG190" s="120"/>
      <c r="AK190" s="403"/>
    </row>
    <row r="191" spans="4:37" x14ac:dyDescent="0.25">
      <c r="D191" s="120"/>
      <c r="H191" s="120"/>
      <c r="L191" s="120"/>
      <c r="P191" s="120"/>
      <c r="T191" s="120"/>
      <c r="X191" s="120"/>
      <c r="AB191" s="120"/>
      <c r="AF191" s="120"/>
      <c r="AG191" s="120"/>
      <c r="AK191" s="403"/>
    </row>
    <row r="192" spans="4:37" x14ac:dyDescent="0.25">
      <c r="D192" s="120"/>
      <c r="H192" s="120"/>
      <c r="L192" s="120"/>
      <c r="P192" s="120"/>
      <c r="T192" s="120"/>
      <c r="X192" s="120"/>
      <c r="AB192" s="120"/>
      <c r="AF192" s="120"/>
      <c r="AG192" s="120"/>
      <c r="AK192" s="403"/>
    </row>
    <row r="193" spans="4:37" x14ac:dyDescent="0.25">
      <c r="D193" s="120"/>
      <c r="H193" s="120"/>
      <c r="L193" s="120"/>
      <c r="P193" s="120"/>
      <c r="T193" s="120"/>
      <c r="X193" s="120"/>
      <c r="AB193" s="120"/>
      <c r="AF193" s="120"/>
      <c r="AG193" s="120"/>
      <c r="AK193" s="403"/>
    </row>
    <row r="194" spans="4:37" x14ac:dyDescent="0.25">
      <c r="D194" s="120"/>
      <c r="H194" s="120"/>
      <c r="L194" s="120"/>
      <c r="P194" s="120"/>
      <c r="T194" s="120"/>
      <c r="X194" s="120"/>
      <c r="AB194" s="120"/>
      <c r="AF194" s="120"/>
      <c r="AG194" s="120"/>
      <c r="AK194" s="403"/>
    </row>
    <row r="195" spans="4:37" x14ac:dyDescent="0.25">
      <c r="D195" s="120"/>
      <c r="H195" s="120"/>
      <c r="L195" s="120"/>
      <c r="P195" s="120"/>
      <c r="T195" s="120"/>
      <c r="X195" s="120"/>
      <c r="AB195" s="120"/>
      <c r="AF195" s="120"/>
      <c r="AG195" s="120"/>
      <c r="AK195" s="403"/>
    </row>
    <row r="196" spans="4:37" x14ac:dyDescent="0.25">
      <c r="D196" s="120"/>
      <c r="H196" s="120"/>
      <c r="L196" s="120"/>
      <c r="P196" s="120"/>
      <c r="T196" s="120"/>
      <c r="X196" s="120"/>
      <c r="AB196" s="120"/>
      <c r="AF196" s="120"/>
      <c r="AG196" s="120"/>
      <c r="AK196" s="403"/>
    </row>
    <row r="197" spans="4:37" x14ac:dyDescent="0.25">
      <c r="D197" s="120"/>
      <c r="H197" s="120"/>
      <c r="L197" s="120"/>
      <c r="P197" s="120"/>
      <c r="T197" s="120"/>
      <c r="X197" s="120"/>
      <c r="AB197" s="120"/>
      <c r="AF197" s="120"/>
      <c r="AG197" s="120"/>
      <c r="AK197" s="403"/>
    </row>
    <row r="198" spans="4:37" x14ac:dyDescent="0.25">
      <c r="D198" s="120"/>
      <c r="H198" s="120"/>
      <c r="L198" s="120"/>
      <c r="P198" s="120"/>
      <c r="T198" s="120"/>
      <c r="X198" s="120"/>
      <c r="AB198" s="120"/>
      <c r="AF198" s="120"/>
      <c r="AG198" s="120"/>
      <c r="AK198" s="403"/>
    </row>
    <row r="199" spans="4:37" x14ac:dyDescent="0.25">
      <c r="D199" s="120"/>
      <c r="H199" s="120"/>
      <c r="L199" s="120"/>
      <c r="P199" s="120"/>
      <c r="T199" s="120"/>
      <c r="X199" s="120"/>
      <c r="AB199" s="120"/>
      <c r="AF199" s="120"/>
      <c r="AG199" s="120"/>
      <c r="AK199" s="403"/>
    </row>
    <row r="200" spans="4:37" x14ac:dyDescent="0.25">
      <c r="D200" s="120"/>
      <c r="H200" s="120"/>
      <c r="L200" s="120"/>
      <c r="P200" s="120"/>
      <c r="T200" s="120"/>
      <c r="X200" s="120"/>
      <c r="AB200" s="120"/>
      <c r="AF200" s="120"/>
      <c r="AG200" s="120"/>
      <c r="AK200" s="403"/>
    </row>
    <row r="201" spans="4:37" x14ac:dyDescent="0.25">
      <c r="D201" s="120"/>
      <c r="H201" s="120"/>
      <c r="L201" s="120"/>
      <c r="P201" s="120"/>
      <c r="T201" s="120"/>
      <c r="X201" s="120"/>
      <c r="AB201" s="120"/>
      <c r="AF201" s="120"/>
      <c r="AG201" s="120"/>
      <c r="AK201" s="403"/>
    </row>
    <row r="202" spans="4:37" x14ac:dyDescent="0.25">
      <c r="D202" s="120"/>
      <c r="H202" s="120"/>
      <c r="L202" s="120"/>
      <c r="P202" s="120"/>
      <c r="T202" s="120"/>
      <c r="X202" s="120"/>
      <c r="AB202" s="120"/>
      <c r="AF202" s="120"/>
      <c r="AG202" s="120"/>
      <c r="AK202" s="403"/>
    </row>
    <row r="203" spans="4:37" x14ac:dyDescent="0.25">
      <c r="D203" s="120"/>
      <c r="H203" s="120"/>
      <c r="L203" s="120"/>
      <c r="P203" s="120"/>
      <c r="T203" s="120"/>
      <c r="X203" s="120"/>
      <c r="AB203" s="120"/>
      <c r="AF203" s="120"/>
      <c r="AG203" s="120"/>
      <c r="AK203" s="403"/>
    </row>
    <row r="204" spans="4:37" x14ac:dyDescent="0.25">
      <c r="D204" s="120"/>
      <c r="H204" s="120"/>
      <c r="L204" s="120"/>
      <c r="P204" s="120"/>
      <c r="T204" s="120"/>
      <c r="X204" s="120"/>
      <c r="AB204" s="120"/>
      <c r="AF204" s="120"/>
      <c r="AG204" s="120"/>
      <c r="AK204" s="403"/>
    </row>
    <row r="205" spans="4:37" x14ac:dyDescent="0.25">
      <c r="D205" s="120"/>
      <c r="H205" s="120"/>
      <c r="L205" s="120"/>
      <c r="P205" s="120"/>
      <c r="T205" s="120"/>
      <c r="X205" s="120"/>
      <c r="AB205" s="120"/>
      <c r="AF205" s="120"/>
      <c r="AG205" s="120"/>
      <c r="AK205" s="403"/>
    </row>
    <row r="206" spans="4:37" x14ac:dyDescent="0.25">
      <c r="D206" s="120"/>
      <c r="H206" s="120"/>
      <c r="L206" s="120"/>
      <c r="P206" s="120"/>
      <c r="T206" s="120"/>
      <c r="X206" s="120"/>
      <c r="AB206" s="120"/>
      <c r="AF206" s="120"/>
      <c r="AG206" s="120"/>
      <c r="AK206" s="403"/>
    </row>
    <row r="207" spans="4:37" x14ac:dyDescent="0.25">
      <c r="D207" s="120"/>
      <c r="H207" s="120"/>
      <c r="L207" s="120"/>
      <c r="P207" s="120"/>
      <c r="T207" s="120"/>
      <c r="X207" s="120"/>
      <c r="AB207" s="120"/>
      <c r="AF207" s="120"/>
      <c r="AG207" s="120"/>
      <c r="AK207" s="403"/>
    </row>
    <row r="208" spans="4:37" x14ac:dyDescent="0.25">
      <c r="D208" s="120"/>
      <c r="H208" s="120"/>
      <c r="L208" s="120"/>
      <c r="P208" s="120"/>
      <c r="T208" s="120"/>
      <c r="X208" s="120"/>
      <c r="AB208" s="120"/>
      <c r="AF208" s="120"/>
      <c r="AG208" s="120"/>
      <c r="AK208" s="403"/>
    </row>
    <row r="209" spans="4:37" x14ac:dyDescent="0.25">
      <c r="D209" s="120"/>
      <c r="H209" s="120"/>
      <c r="L209" s="120"/>
      <c r="P209" s="120"/>
      <c r="T209" s="120"/>
      <c r="X209" s="120"/>
      <c r="AB209" s="120"/>
      <c r="AF209" s="120"/>
      <c r="AG209" s="120"/>
      <c r="AK209" s="403"/>
    </row>
    <row r="210" spans="4:37" x14ac:dyDescent="0.25">
      <c r="D210" s="120"/>
      <c r="H210" s="120"/>
      <c r="L210" s="120"/>
      <c r="P210" s="120"/>
      <c r="T210" s="120"/>
      <c r="X210" s="120"/>
      <c r="AB210" s="120"/>
      <c r="AF210" s="120"/>
      <c r="AG210" s="120"/>
      <c r="AK210" s="403"/>
    </row>
    <row r="211" spans="4:37" x14ac:dyDescent="0.25">
      <c r="D211" s="120"/>
      <c r="H211" s="120"/>
      <c r="L211" s="120"/>
      <c r="P211" s="120"/>
      <c r="T211" s="120"/>
      <c r="X211" s="120"/>
      <c r="AB211" s="120"/>
      <c r="AF211" s="120"/>
      <c r="AG211" s="120"/>
      <c r="AK211" s="403"/>
    </row>
    <row r="212" spans="4:37" x14ac:dyDescent="0.25">
      <c r="D212" s="120"/>
      <c r="H212" s="120"/>
      <c r="L212" s="120"/>
      <c r="P212" s="120"/>
      <c r="T212" s="120"/>
      <c r="X212" s="120"/>
      <c r="AB212" s="120"/>
      <c r="AF212" s="120"/>
      <c r="AG212" s="120"/>
      <c r="AK212" s="403"/>
    </row>
    <row r="213" spans="4:37" x14ac:dyDescent="0.25">
      <c r="D213" s="120"/>
      <c r="H213" s="120"/>
      <c r="L213" s="120"/>
      <c r="P213" s="120"/>
      <c r="T213" s="120"/>
      <c r="X213" s="120"/>
      <c r="AB213" s="120"/>
      <c r="AF213" s="120"/>
      <c r="AG213" s="120"/>
      <c r="AK213" s="403"/>
    </row>
    <row r="214" spans="4:37" x14ac:dyDescent="0.25">
      <c r="D214" s="120"/>
      <c r="H214" s="120"/>
      <c r="L214" s="120"/>
      <c r="P214" s="120"/>
      <c r="T214" s="120"/>
      <c r="X214" s="120"/>
      <c r="AB214" s="120"/>
      <c r="AF214" s="120"/>
      <c r="AG214" s="120"/>
      <c r="AK214" s="403"/>
    </row>
    <row r="215" spans="4:37" x14ac:dyDescent="0.25">
      <c r="D215" s="120"/>
      <c r="H215" s="120"/>
      <c r="L215" s="120"/>
      <c r="P215" s="120"/>
      <c r="T215" s="120"/>
      <c r="X215" s="120"/>
      <c r="AB215" s="120"/>
      <c r="AF215" s="120"/>
      <c r="AG215" s="120"/>
      <c r="AK215" s="403"/>
    </row>
    <row r="216" spans="4:37" x14ac:dyDescent="0.25">
      <c r="D216" s="120"/>
      <c r="H216" s="120"/>
      <c r="L216" s="120"/>
      <c r="P216" s="120"/>
      <c r="T216" s="120"/>
      <c r="X216" s="120"/>
      <c r="AB216" s="120"/>
      <c r="AF216" s="120"/>
      <c r="AG216" s="120"/>
      <c r="AK216" s="403"/>
    </row>
    <row r="217" spans="4:37" x14ac:dyDescent="0.25">
      <c r="D217" s="120"/>
      <c r="H217" s="120"/>
      <c r="L217" s="120"/>
      <c r="P217" s="120"/>
      <c r="T217" s="120"/>
      <c r="X217" s="120"/>
      <c r="AB217" s="120"/>
      <c r="AF217" s="120"/>
      <c r="AG217" s="120"/>
      <c r="AK217" s="403"/>
    </row>
    <row r="218" spans="4:37" x14ac:dyDescent="0.25">
      <c r="D218" s="120"/>
      <c r="H218" s="120"/>
      <c r="L218" s="120"/>
      <c r="P218" s="120"/>
      <c r="T218" s="120"/>
      <c r="X218" s="120"/>
      <c r="AB218" s="120"/>
      <c r="AF218" s="120"/>
      <c r="AG218" s="120"/>
      <c r="AK218" s="403"/>
    </row>
    <row r="219" spans="4:37" x14ac:dyDescent="0.25">
      <c r="D219" s="120"/>
      <c r="H219" s="120"/>
      <c r="L219" s="120"/>
      <c r="P219" s="120"/>
      <c r="T219" s="120"/>
      <c r="X219" s="120"/>
      <c r="AB219" s="120"/>
      <c r="AF219" s="120"/>
      <c r="AG219" s="120"/>
      <c r="AK219" s="403"/>
    </row>
    <row r="220" spans="4:37" x14ac:dyDescent="0.25">
      <c r="D220" s="120"/>
      <c r="H220" s="120"/>
      <c r="L220" s="120"/>
      <c r="P220" s="120"/>
      <c r="T220" s="120"/>
      <c r="X220" s="120"/>
      <c r="AB220" s="120"/>
      <c r="AF220" s="120"/>
      <c r="AG220" s="120"/>
      <c r="AK220" s="403"/>
    </row>
    <row r="221" spans="4:37" x14ac:dyDescent="0.25">
      <c r="D221" s="120"/>
      <c r="H221" s="120"/>
      <c r="L221" s="120"/>
      <c r="P221" s="120"/>
      <c r="T221" s="120"/>
      <c r="X221" s="120"/>
      <c r="AB221" s="120"/>
      <c r="AF221" s="120"/>
      <c r="AG221" s="120"/>
      <c r="AK221" s="403"/>
    </row>
    <row r="222" spans="4:37" x14ac:dyDescent="0.25">
      <c r="D222" s="120"/>
      <c r="H222" s="120"/>
      <c r="L222" s="120"/>
      <c r="P222" s="120"/>
      <c r="T222" s="120"/>
      <c r="X222" s="120"/>
      <c r="AB222" s="120"/>
      <c r="AF222" s="120"/>
      <c r="AG222" s="120"/>
      <c r="AK222" s="403"/>
    </row>
    <row r="223" spans="4:37" x14ac:dyDescent="0.25">
      <c r="D223" s="120"/>
      <c r="H223" s="120"/>
      <c r="L223" s="120"/>
      <c r="P223" s="120"/>
      <c r="T223" s="120"/>
      <c r="X223" s="120"/>
      <c r="AB223" s="120"/>
      <c r="AF223" s="120"/>
      <c r="AG223" s="120"/>
      <c r="AK223" s="403"/>
    </row>
    <row r="224" spans="4:37" x14ac:dyDescent="0.25">
      <c r="D224" s="120"/>
      <c r="H224" s="120"/>
      <c r="L224" s="120"/>
      <c r="P224" s="120"/>
      <c r="T224" s="120"/>
      <c r="X224" s="120"/>
      <c r="AB224" s="120"/>
      <c r="AF224" s="120"/>
      <c r="AG224" s="120"/>
      <c r="AK224" s="403"/>
    </row>
    <row r="225" spans="4:37" x14ac:dyDescent="0.25">
      <c r="D225" s="120"/>
      <c r="H225" s="120"/>
      <c r="L225" s="120"/>
      <c r="P225" s="120"/>
      <c r="T225" s="120"/>
      <c r="X225" s="120"/>
      <c r="AB225" s="120"/>
      <c r="AF225" s="120"/>
      <c r="AG225" s="120"/>
      <c r="AK225" s="403"/>
    </row>
    <row r="226" spans="4:37" x14ac:dyDescent="0.25">
      <c r="D226" s="120"/>
      <c r="H226" s="120"/>
      <c r="L226" s="120"/>
      <c r="P226" s="120"/>
      <c r="T226" s="120"/>
      <c r="X226" s="120"/>
      <c r="AB226" s="120"/>
      <c r="AF226" s="120"/>
      <c r="AG226" s="120"/>
      <c r="AK226" s="403"/>
    </row>
    <row r="227" spans="4:37" x14ac:dyDescent="0.25">
      <c r="D227" s="120"/>
      <c r="H227" s="120"/>
      <c r="L227" s="120"/>
      <c r="P227" s="120"/>
      <c r="T227" s="120"/>
      <c r="X227" s="120"/>
      <c r="AB227" s="120"/>
      <c r="AF227" s="120"/>
      <c r="AG227" s="120"/>
      <c r="AK227" s="403"/>
    </row>
    <row r="228" spans="4:37" x14ac:dyDescent="0.25">
      <c r="D228" s="120"/>
      <c r="H228" s="120"/>
      <c r="L228" s="120"/>
      <c r="P228" s="120"/>
      <c r="T228" s="120"/>
      <c r="X228" s="120"/>
      <c r="AB228" s="120"/>
      <c r="AF228" s="120"/>
      <c r="AG228" s="120"/>
      <c r="AK228" s="403"/>
    </row>
    <row r="229" spans="4:37" x14ac:dyDescent="0.25">
      <c r="D229" s="120"/>
      <c r="H229" s="120"/>
      <c r="L229" s="120"/>
      <c r="P229" s="120"/>
      <c r="T229" s="120"/>
      <c r="X229" s="120"/>
      <c r="AB229" s="120"/>
      <c r="AF229" s="120"/>
      <c r="AG229" s="120"/>
      <c r="AK229" s="403"/>
    </row>
    <row r="230" spans="4:37" x14ac:dyDescent="0.25">
      <c r="D230" s="120"/>
      <c r="H230" s="120"/>
      <c r="L230" s="120"/>
      <c r="P230" s="120"/>
      <c r="T230" s="120"/>
      <c r="X230" s="120"/>
      <c r="AB230" s="120"/>
      <c r="AF230" s="120"/>
      <c r="AG230" s="120"/>
      <c r="AK230" s="403"/>
    </row>
    <row r="231" spans="4:37" x14ac:dyDescent="0.25">
      <c r="D231" s="120"/>
      <c r="H231" s="120"/>
      <c r="L231" s="120"/>
      <c r="P231" s="120"/>
      <c r="T231" s="120"/>
      <c r="X231" s="120"/>
      <c r="AB231" s="120"/>
      <c r="AF231" s="120"/>
      <c r="AG231" s="120"/>
      <c r="AK231" s="403"/>
    </row>
    <row r="232" spans="4:37" x14ac:dyDescent="0.25">
      <c r="D232" s="120"/>
      <c r="H232" s="120"/>
      <c r="L232" s="120"/>
      <c r="P232" s="120"/>
      <c r="T232" s="120"/>
      <c r="X232" s="120"/>
      <c r="AB232" s="120"/>
      <c r="AF232" s="120"/>
      <c r="AG232" s="120"/>
      <c r="AK232" s="403"/>
    </row>
    <row r="233" spans="4:37" x14ac:dyDescent="0.25">
      <c r="D233" s="120"/>
      <c r="H233" s="120"/>
      <c r="L233" s="120"/>
      <c r="P233" s="120"/>
      <c r="T233" s="120"/>
      <c r="X233" s="120"/>
      <c r="AB233" s="120"/>
      <c r="AF233" s="120"/>
      <c r="AG233" s="120"/>
      <c r="AK233" s="403"/>
    </row>
    <row r="234" spans="4:37" x14ac:dyDescent="0.25">
      <c r="D234" s="120"/>
      <c r="H234" s="120"/>
      <c r="L234" s="120"/>
      <c r="P234" s="120"/>
      <c r="T234" s="120"/>
      <c r="X234" s="120"/>
      <c r="AB234" s="120"/>
      <c r="AF234" s="120"/>
      <c r="AG234" s="120"/>
      <c r="AK234" s="403"/>
    </row>
    <row r="235" spans="4:37" x14ac:dyDescent="0.25">
      <c r="D235" s="120"/>
      <c r="H235" s="120"/>
      <c r="L235" s="120"/>
      <c r="P235" s="120"/>
      <c r="T235" s="120"/>
      <c r="X235" s="120"/>
      <c r="AB235" s="120"/>
      <c r="AF235" s="120"/>
      <c r="AG235" s="120"/>
      <c r="AK235" s="403"/>
    </row>
    <row r="236" spans="4:37" x14ac:dyDescent="0.25">
      <c r="D236" s="120"/>
      <c r="H236" s="120"/>
      <c r="L236" s="120"/>
      <c r="P236" s="120"/>
      <c r="T236" s="120"/>
      <c r="X236" s="120"/>
      <c r="AB236" s="120"/>
      <c r="AF236" s="120"/>
      <c r="AG236" s="120"/>
      <c r="AK236" s="403"/>
    </row>
    <row r="237" spans="4:37" x14ac:dyDescent="0.25">
      <c r="D237" s="120"/>
      <c r="H237" s="120"/>
      <c r="L237" s="120"/>
      <c r="P237" s="120"/>
      <c r="T237" s="120"/>
      <c r="X237" s="120"/>
      <c r="AB237" s="120"/>
      <c r="AF237" s="120"/>
      <c r="AG237" s="120"/>
      <c r="AK237" s="403"/>
    </row>
    <row r="238" spans="4:37" x14ac:dyDescent="0.25">
      <c r="D238" s="120"/>
      <c r="H238" s="120"/>
      <c r="L238" s="120"/>
      <c r="P238" s="120"/>
      <c r="T238" s="120"/>
      <c r="X238" s="120"/>
      <c r="AB238" s="120"/>
      <c r="AF238" s="120"/>
      <c r="AG238" s="120"/>
      <c r="AK238" s="403"/>
    </row>
    <row r="239" spans="4:37" x14ac:dyDescent="0.25">
      <c r="D239" s="120"/>
      <c r="H239" s="120"/>
      <c r="L239" s="120"/>
      <c r="P239" s="120"/>
      <c r="T239" s="120"/>
      <c r="X239" s="120"/>
      <c r="AB239" s="120"/>
      <c r="AF239" s="120"/>
      <c r="AG239" s="120"/>
      <c r="AK239" s="403"/>
    </row>
    <row r="240" spans="4:37" x14ac:dyDescent="0.25">
      <c r="D240" s="120"/>
      <c r="H240" s="120"/>
      <c r="L240" s="120"/>
      <c r="P240" s="120"/>
      <c r="T240" s="120"/>
      <c r="X240" s="120"/>
      <c r="AB240" s="120"/>
      <c r="AF240" s="120"/>
      <c r="AG240" s="120"/>
      <c r="AK240" s="403"/>
    </row>
    <row r="241" spans="4:37" x14ac:dyDescent="0.25">
      <c r="D241" s="120"/>
      <c r="H241" s="120"/>
      <c r="L241" s="120"/>
      <c r="P241" s="120"/>
      <c r="T241" s="120"/>
      <c r="X241" s="120"/>
      <c r="AB241" s="120"/>
      <c r="AF241" s="120"/>
      <c r="AG241" s="120"/>
      <c r="AK241" s="403"/>
    </row>
    <row r="242" spans="4:37" x14ac:dyDescent="0.25">
      <c r="D242" s="120"/>
      <c r="H242" s="120"/>
      <c r="L242" s="120"/>
      <c r="P242" s="120"/>
      <c r="T242" s="120"/>
      <c r="X242" s="120"/>
      <c r="AB242" s="120"/>
      <c r="AF242" s="120"/>
      <c r="AG242" s="120"/>
      <c r="AK242" s="403"/>
    </row>
    <row r="243" spans="4:37" x14ac:dyDescent="0.25">
      <c r="D243" s="120"/>
      <c r="H243" s="120"/>
      <c r="L243" s="120"/>
      <c r="P243" s="120"/>
      <c r="T243" s="120"/>
      <c r="X243" s="120"/>
      <c r="AB243" s="120"/>
      <c r="AF243" s="120"/>
      <c r="AG243" s="120"/>
      <c r="AK243" s="403"/>
    </row>
    <row r="244" spans="4:37" x14ac:dyDescent="0.25">
      <c r="D244" s="120"/>
      <c r="H244" s="120"/>
      <c r="L244" s="120"/>
      <c r="P244" s="120"/>
      <c r="T244" s="120"/>
      <c r="X244" s="120"/>
      <c r="AB244" s="120"/>
      <c r="AF244" s="120"/>
      <c r="AG244" s="120"/>
      <c r="AK244" s="403"/>
    </row>
    <row r="245" spans="4:37" x14ac:dyDescent="0.25">
      <c r="D245" s="120"/>
      <c r="H245" s="120"/>
      <c r="L245" s="120"/>
      <c r="P245" s="120"/>
      <c r="T245" s="120"/>
      <c r="X245" s="120"/>
      <c r="AB245" s="120"/>
      <c r="AF245" s="120"/>
      <c r="AG245" s="120"/>
      <c r="AK245" s="403"/>
    </row>
    <row r="246" spans="4:37" x14ac:dyDescent="0.25">
      <c r="D246" s="120"/>
      <c r="H246" s="120"/>
      <c r="L246" s="120"/>
      <c r="P246" s="120"/>
      <c r="T246" s="120"/>
      <c r="X246" s="120"/>
      <c r="AB246" s="120"/>
      <c r="AF246" s="120"/>
      <c r="AG246" s="120"/>
      <c r="AK246" s="403"/>
    </row>
    <row r="247" spans="4:37" x14ac:dyDescent="0.25">
      <c r="D247" s="120"/>
      <c r="H247" s="120"/>
      <c r="L247" s="120"/>
      <c r="P247" s="120"/>
      <c r="T247" s="120"/>
      <c r="X247" s="120"/>
      <c r="AB247" s="120"/>
      <c r="AF247" s="120"/>
      <c r="AG247" s="120"/>
      <c r="AK247" s="403"/>
    </row>
    <row r="248" spans="4:37" x14ac:dyDescent="0.25">
      <c r="D248" s="120"/>
      <c r="H248" s="120"/>
      <c r="L248" s="120"/>
      <c r="P248" s="120"/>
      <c r="T248" s="120"/>
      <c r="X248" s="120"/>
      <c r="AB248" s="120"/>
      <c r="AF248" s="120"/>
      <c r="AG248" s="120"/>
      <c r="AK248" s="403"/>
    </row>
    <row r="249" spans="4:37" x14ac:dyDescent="0.25">
      <c r="D249" s="120"/>
      <c r="H249" s="120"/>
      <c r="L249" s="120"/>
      <c r="P249" s="120"/>
      <c r="T249" s="120"/>
      <c r="X249" s="120"/>
      <c r="AB249" s="120"/>
      <c r="AF249" s="120"/>
      <c r="AG249" s="120"/>
      <c r="AK249" s="403"/>
    </row>
    <row r="250" spans="4:37" x14ac:dyDescent="0.25">
      <c r="D250" s="120"/>
      <c r="H250" s="120"/>
      <c r="L250" s="120"/>
      <c r="P250" s="120"/>
      <c r="T250" s="120"/>
      <c r="X250" s="120"/>
      <c r="AB250" s="120"/>
      <c r="AF250" s="120"/>
      <c r="AG250" s="120"/>
      <c r="AK250" s="403"/>
    </row>
    <row r="251" spans="4:37" x14ac:dyDescent="0.25">
      <c r="D251" s="120"/>
      <c r="H251" s="120"/>
      <c r="L251" s="120"/>
      <c r="P251" s="120"/>
      <c r="T251" s="120"/>
      <c r="X251" s="120"/>
      <c r="AB251" s="120"/>
      <c r="AF251" s="120"/>
      <c r="AG251" s="120"/>
      <c r="AK251" s="403"/>
    </row>
    <row r="252" spans="4:37" x14ac:dyDescent="0.25">
      <c r="D252" s="120"/>
      <c r="H252" s="120"/>
      <c r="L252" s="120"/>
      <c r="P252" s="120"/>
      <c r="T252" s="120"/>
      <c r="X252" s="120"/>
      <c r="AB252" s="120"/>
      <c r="AF252" s="120"/>
      <c r="AG252" s="120"/>
      <c r="AK252" s="403"/>
    </row>
    <row r="253" spans="4:37" x14ac:dyDescent="0.25">
      <c r="D253" s="120"/>
      <c r="H253" s="120"/>
      <c r="L253" s="120"/>
      <c r="P253" s="120"/>
      <c r="T253" s="120"/>
      <c r="X253" s="120"/>
      <c r="AB253" s="120"/>
      <c r="AF253" s="120"/>
      <c r="AG253" s="120"/>
      <c r="AK253" s="403"/>
    </row>
    <row r="254" spans="4:37" x14ac:dyDescent="0.25">
      <c r="D254" s="120"/>
      <c r="H254" s="120"/>
      <c r="L254" s="120"/>
      <c r="P254" s="120"/>
      <c r="T254" s="120"/>
      <c r="X254" s="120"/>
      <c r="AB254" s="120"/>
      <c r="AF254" s="120"/>
      <c r="AG254" s="120"/>
      <c r="AK254" s="403"/>
    </row>
    <row r="255" spans="4:37" x14ac:dyDescent="0.25">
      <c r="D255" s="120"/>
      <c r="H255" s="120"/>
      <c r="L255" s="120"/>
      <c r="P255" s="120"/>
      <c r="T255" s="120"/>
      <c r="X255" s="120"/>
      <c r="AB255" s="120"/>
      <c r="AF255" s="120"/>
      <c r="AG255" s="120"/>
      <c r="AK255" s="403"/>
    </row>
    <row r="256" spans="4:37" x14ac:dyDescent="0.25">
      <c r="D256" s="120"/>
      <c r="H256" s="120"/>
      <c r="L256" s="120"/>
      <c r="P256" s="120"/>
      <c r="T256" s="120"/>
      <c r="X256" s="120"/>
      <c r="AB256" s="120"/>
      <c r="AF256" s="120"/>
      <c r="AG256" s="120"/>
      <c r="AK256" s="403"/>
    </row>
    <row r="257" spans="4:37" x14ac:dyDescent="0.25">
      <c r="D257" s="120"/>
      <c r="H257" s="120"/>
      <c r="L257" s="120"/>
      <c r="P257" s="120"/>
      <c r="T257" s="120"/>
      <c r="X257" s="120"/>
      <c r="AB257" s="120"/>
      <c r="AF257" s="120"/>
      <c r="AG257" s="120"/>
      <c r="AK257" s="403"/>
    </row>
    <row r="258" spans="4:37" x14ac:dyDescent="0.25">
      <c r="D258" s="120"/>
      <c r="H258" s="120"/>
      <c r="L258" s="120"/>
      <c r="P258" s="120"/>
      <c r="T258" s="120"/>
      <c r="X258" s="120"/>
      <c r="AB258" s="120"/>
      <c r="AF258" s="120"/>
      <c r="AG258" s="120"/>
      <c r="AK258" s="403"/>
    </row>
    <row r="259" spans="4:37" x14ac:dyDescent="0.25">
      <c r="D259" s="120"/>
      <c r="H259" s="120"/>
      <c r="L259" s="120"/>
      <c r="P259" s="120"/>
      <c r="T259" s="120"/>
      <c r="X259" s="120"/>
      <c r="AB259" s="120"/>
      <c r="AF259" s="120"/>
      <c r="AG259" s="120"/>
      <c r="AK259" s="403"/>
    </row>
    <row r="260" spans="4:37" x14ac:dyDescent="0.25">
      <c r="D260" s="120"/>
      <c r="H260" s="120"/>
      <c r="L260" s="120"/>
      <c r="P260" s="120"/>
      <c r="T260" s="120"/>
      <c r="X260" s="120"/>
      <c r="AB260" s="120"/>
      <c r="AF260" s="120"/>
      <c r="AG260" s="120"/>
      <c r="AK260" s="403"/>
    </row>
    <row r="261" spans="4:37" x14ac:dyDescent="0.25">
      <c r="D261" s="120"/>
      <c r="H261" s="120"/>
      <c r="L261" s="120"/>
      <c r="P261" s="120"/>
      <c r="T261" s="120"/>
      <c r="X261" s="120"/>
      <c r="AB261" s="120"/>
      <c r="AF261" s="120"/>
      <c r="AG261" s="120"/>
      <c r="AK261" s="403"/>
    </row>
    <row r="262" spans="4:37" x14ac:dyDescent="0.25">
      <c r="D262" s="120"/>
      <c r="H262" s="120"/>
      <c r="L262" s="120"/>
      <c r="P262" s="120"/>
      <c r="T262" s="120"/>
      <c r="X262" s="120"/>
      <c r="AB262" s="120"/>
      <c r="AF262" s="120"/>
      <c r="AG262" s="120"/>
      <c r="AK262" s="403"/>
    </row>
    <row r="263" spans="4:37" x14ac:dyDescent="0.25">
      <c r="D263" s="120"/>
      <c r="H263" s="120"/>
      <c r="L263" s="120"/>
      <c r="P263" s="120"/>
      <c r="T263" s="120"/>
      <c r="X263" s="120"/>
      <c r="AB263" s="120"/>
      <c r="AF263" s="120"/>
      <c r="AG263" s="120"/>
      <c r="AK263" s="403"/>
    </row>
    <row r="264" spans="4:37" x14ac:dyDescent="0.25">
      <c r="D264" s="120"/>
      <c r="H264" s="120"/>
      <c r="L264" s="120"/>
      <c r="P264" s="120"/>
      <c r="T264" s="120"/>
      <c r="X264" s="120"/>
      <c r="AB264" s="120"/>
      <c r="AF264" s="120"/>
      <c r="AG264" s="120"/>
      <c r="AK264" s="403"/>
    </row>
    <row r="265" spans="4:37" x14ac:dyDescent="0.25">
      <c r="D265" s="120"/>
      <c r="H265" s="120"/>
      <c r="L265" s="120"/>
      <c r="P265" s="120"/>
      <c r="T265" s="120"/>
      <c r="X265" s="120"/>
      <c r="AB265" s="120"/>
      <c r="AF265" s="120"/>
      <c r="AG265" s="120"/>
      <c r="AK265" s="403"/>
    </row>
    <row r="266" spans="4:37" x14ac:dyDescent="0.25">
      <c r="D266" s="120"/>
      <c r="H266" s="120"/>
      <c r="L266" s="120"/>
      <c r="P266" s="120"/>
      <c r="T266" s="120"/>
      <c r="X266" s="120"/>
      <c r="AB266" s="120"/>
      <c r="AF266" s="120"/>
      <c r="AG266" s="120"/>
      <c r="AK266" s="403"/>
    </row>
    <row r="267" spans="4:37" x14ac:dyDescent="0.25">
      <c r="D267" s="120"/>
      <c r="H267" s="120"/>
      <c r="L267" s="120"/>
      <c r="P267" s="120"/>
      <c r="T267" s="120"/>
      <c r="X267" s="120"/>
      <c r="AB267" s="120"/>
      <c r="AF267" s="120"/>
      <c r="AG267" s="120"/>
      <c r="AK267" s="403"/>
    </row>
    <row r="268" spans="4:37" x14ac:dyDescent="0.25">
      <c r="D268" s="120"/>
      <c r="H268" s="120"/>
      <c r="L268" s="120"/>
      <c r="P268" s="120"/>
      <c r="T268" s="120"/>
      <c r="X268" s="120"/>
      <c r="AB268" s="120"/>
      <c r="AF268" s="120"/>
      <c r="AG268" s="120"/>
      <c r="AK268" s="403"/>
    </row>
    <row r="269" spans="4:37" x14ac:dyDescent="0.25">
      <c r="D269" s="120"/>
      <c r="H269" s="120"/>
      <c r="L269" s="120"/>
      <c r="P269" s="120"/>
      <c r="T269" s="120"/>
      <c r="X269" s="120"/>
      <c r="AB269" s="120"/>
      <c r="AF269" s="120"/>
      <c r="AG269" s="120"/>
      <c r="AK269" s="403"/>
    </row>
    <row r="270" spans="4:37" x14ac:dyDescent="0.25">
      <c r="D270" s="120"/>
      <c r="H270" s="120"/>
      <c r="L270" s="120"/>
      <c r="P270" s="120"/>
      <c r="T270" s="120"/>
      <c r="X270" s="120"/>
      <c r="AB270" s="120"/>
      <c r="AF270" s="120"/>
      <c r="AG270" s="120"/>
      <c r="AK270" s="403"/>
    </row>
    <row r="271" spans="4:37" x14ac:dyDescent="0.25">
      <c r="D271" s="120"/>
      <c r="H271" s="120"/>
      <c r="L271" s="120"/>
      <c r="P271" s="120"/>
      <c r="T271" s="120"/>
      <c r="X271" s="120"/>
      <c r="AB271" s="120"/>
      <c r="AF271" s="120"/>
      <c r="AG271" s="120"/>
      <c r="AK271" s="403"/>
    </row>
    <row r="272" spans="4:37" x14ac:dyDescent="0.25">
      <c r="D272" s="120"/>
      <c r="H272" s="120"/>
      <c r="L272" s="120"/>
      <c r="P272" s="120"/>
      <c r="T272" s="120"/>
      <c r="X272" s="120"/>
      <c r="AB272" s="120"/>
      <c r="AF272" s="120"/>
      <c r="AG272" s="120"/>
      <c r="AK272" s="403"/>
    </row>
    <row r="273" spans="4:37" x14ac:dyDescent="0.25">
      <c r="D273" s="120"/>
      <c r="H273" s="120"/>
      <c r="L273" s="120"/>
      <c r="P273" s="120"/>
      <c r="T273" s="120"/>
      <c r="X273" s="120"/>
      <c r="AB273" s="120"/>
      <c r="AF273" s="120"/>
      <c r="AG273" s="120"/>
      <c r="AK273" s="403"/>
    </row>
    <row r="274" spans="4:37" x14ac:dyDescent="0.25">
      <c r="D274" s="120"/>
      <c r="H274" s="120"/>
      <c r="L274" s="120"/>
      <c r="P274" s="120"/>
      <c r="T274" s="120"/>
      <c r="X274" s="120"/>
      <c r="AB274" s="120"/>
      <c r="AF274" s="120"/>
      <c r="AG274" s="120"/>
      <c r="AK274" s="403"/>
    </row>
    <row r="275" spans="4:37" x14ac:dyDescent="0.25">
      <c r="D275" s="120"/>
      <c r="H275" s="120"/>
      <c r="L275" s="120"/>
      <c r="P275" s="120"/>
      <c r="T275" s="120"/>
      <c r="X275" s="120"/>
      <c r="AB275" s="120"/>
      <c r="AF275" s="120"/>
      <c r="AG275" s="120"/>
      <c r="AK275" s="403"/>
    </row>
    <row r="276" spans="4:37" x14ac:dyDescent="0.25">
      <c r="D276" s="120"/>
      <c r="H276" s="120"/>
      <c r="L276" s="120"/>
      <c r="P276" s="120"/>
      <c r="T276" s="120"/>
      <c r="X276" s="120"/>
      <c r="AB276" s="120"/>
      <c r="AF276" s="120"/>
      <c r="AG276" s="120"/>
      <c r="AK276" s="403"/>
    </row>
    <row r="277" spans="4:37" x14ac:dyDescent="0.25">
      <c r="D277" s="120"/>
      <c r="H277" s="120"/>
      <c r="L277" s="120"/>
      <c r="P277" s="120"/>
      <c r="T277" s="120"/>
      <c r="X277" s="120"/>
      <c r="AB277" s="120"/>
      <c r="AF277" s="120"/>
      <c r="AG277" s="120"/>
      <c r="AK277" s="403"/>
    </row>
    <row r="278" spans="4:37" x14ac:dyDescent="0.25">
      <c r="D278" s="120"/>
      <c r="H278" s="120"/>
      <c r="L278" s="120"/>
      <c r="P278" s="120"/>
      <c r="T278" s="120"/>
      <c r="X278" s="120"/>
      <c r="AB278" s="120"/>
      <c r="AF278" s="120"/>
      <c r="AG278" s="120"/>
      <c r="AK278" s="403"/>
    </row>
    <row r="279" spans="4:37" x14ac:dyDescent="0.25">
      <c r="D279" s="120"/>
      <c r="H279" s="120"/>
      <c r="L279" s="120"/>
      <c r="P279" s="120"/>
      <c r="T279" s="120"/>
      <c r="X279" s="120"/>
      <c r="AB279" s="120"/>
      <c r="AF279" s="120"/>
      <c r="AG279" s="120"/>
      <c r="AK279" s="403"/>
    </row>
    <row r="280" spans="4:37" x14ac:dyDescent="0.25">
      <c r="D280" s="120"/>
      <c r="H280" s="120"/>
      <c r="L280" s="120"/>
      <c r="P280" s="120"/>
      <c r="T280" s="120"/>
      <c r="X280" s="120"/>
      <c r="AB280" s="120"/>
      <c r="AF280" s="120"/>
      <c r="AG280" s="120"/>
      <c r="AK280" s="403"/>
    </row>
    <row r="281" spans="4:37" x14ac:dyDescent="0.25">
      <c r="D281" s="120"/>
      <c r="H281" s="120"/>
      <c r="L281" s="120"/>
      <c r="P281" s="120"/>
      <c r="T281" s="120"/>
      <c r="X281" s="120"/>
      <c r="AB281" s="120"/>
      <c r="AF281" s="120"/>
      <c r="AG281" s="120"/>
      <c r="AK281" s="403"/>
    </row>
    <row r="282" spans="4:37" x14ac:dyDescent="0.25">
      <c r="D282" s="120"/>
      <c r="H282" s="120"/>
      <c r="L282" s="120"/>
      <c r="P282" s="120"/>
      <c r="T282" s="120"/>
      <c r="X282" s="120"/>
      <c r="AB282" s="120"/>
      <c r="AF282" s="120"/>
      <c r="AG282" s="120"/>
      <c r="AK282" s="403"/>
    </row>
    <row r="283" spans="4:37" x14ac:dyDescent="0.25">
      <c r="D283" s="120"/>
      <c r="H283" s="120"/>
      <c r="L283" s="120"/>
      <c r="P283" s="120"/>
      <c r="T283" s="120"/>
      <c r="X283" s="120"/>
      <c r="AB283" s="120"/>
      <c r="AF283" s="120"/>
      <c r="AG283" s="120"/>
      <c r="AK283" s="403"/>
    </row>
    <row r="284" spans="4:37" x14ac:dyDescent="0.25">
      <c r="D284" s="120"/>
      <c r="H284" s="120"/>
      <c r="L284" s="120"/>
      <c r="P284" s="120"/>
      <c r="T284" s="120"/>
      <c r="X284" s="120"/>
      <c r="AB284" s="120"/>
      <c r="AF284" s="120"/>
      <c r="AG284" s="120"/>
      <c r="AK284" s="403"/>
    </row>
    <row r="285" spans="4:37" x14ac:dyDescent="0.25">
      <c r="D285" s="120"/>
      <c r="H285" s="120"/>
      <c r="L285" s="120"/>
      <c r="P285" s="120"/>
      <c r="T285" s="120"/>
      <c r="X285" s="120"/>
      <c r="AB285" s="120"/>
      <c r="AF285" s="120"/>
      <c r="AG285" s="120"/>
      <c r="AK285" s="403"/>
    </row>
    <row r="286" spans="4:37" x14ac:dyDescent="0.25">
      <c r="D286" s="120"/>
      <c r="H286" s="120"/>
      <c r="L286" s="120"/>
      <c r="P286" s="120"/>
      <c r="T286" s="120"/>
      <c r="X286" s="120"/>
      <c r="AB286" s="120"/>
      <c r="AF286" s="120"/>
      <c r="AG286" s="120"/>
      <c r="AK286" s="403"/>
    </row>
    <row r="287" spans="4:37" x14ac:dyDescent="0.25">
      <c r="D287" s="120"/>
      <c r="H287" s="120"/>
      <c r="L287" s="120"/>
      <c r="P287" s="120"/>
      <c r="T287" s="120"/>
      <c r="X287" s="120"/>
      <c r="AB287" s="120"/>
      <c r="AF287" s="120"/>
      <c r="AG287" s="120"/>
      <c r="AK287" s="403"/>
    </row>
    <row r="288" spans="4:37" x14ac:dyDescent="0.25">
      <c r="D288" s="120"/>
      <c r="H288" s="120"/>
      <c r="L288" s="120"/>
      <c r="P288" s="120"/>
      <c r="T288" s="120"/>
      <c r="X288" s="120"/>
      <c r="AB288" s="120"/>
      <c r="AF288" s="120"/>
      <c r="AG288" s="120"/>
      <c r="AK288" s="403"/>
    </row>
    <row r="289" spans="4:37" x14ac:dyDescent="0.25">
      <c r="D289" s="120"/>
      <c r="H289" s="120"/>
      <c r="L289" s="120"/>
      <c r="P289" s="120"/>
      <c r="T289" s="120"/>
      <c r="X289" s="120"/>
      <c r="AB289" s="120"/>
      <c r="AF289" s="120"/>
      <c r="AG289" s="120"/>
      <c r="AK289" s="403"/>
    </row>
    <row r="290" spans="4:37" x14ac:dyDescent="0.25">
      <c r="D290" s="120"/>
      <c r="H290" s="120"/>
      <c r="L290" s="120"/>
      <c r="P290" s="120"/>
      <c r="T290" s="120"/>
      <c r="X290" s="120"/>
      <c r="AB290" s="120"/>
      <c r="AF290" s="120"/>
      <c r="AG290" s="120"/>
      <c r="AK290" s="403"/>
    </row>
    <row r="291" spans="4:37" x14ac:dyDescent="0.25">
      <c r="D291" s="120"/>
      <c r="H291" s="120"/>
      <c r="L291" s="120"/>
      <c r="P291" s="120"/>
      <c r="T291" s="120"/>
      <c r="X291" s="120"/>
      <c r="AB291" s="120"/>
      <c r="AF291" s="120"/>
      <c r="AG291" s="120"/>
      <c r="AK291" s="403"/>
    </row>
    <row r="292" spans="4:37" x14ac:dyDescent="0.25">
      <c r="D292" s="120"/>
      <c r="H292" s="120"/>
      <c r="L292" s="120"/>
      <c r="P292" s="120"/>
      <c r="T292" s="120"/>
      <c r="X292" s="120"/>
      <c r="AB292" s="120"/>
      <c r="AF292" s="120"/>
      <c r="AG292" s="120"/>
      <c r="AK292" s="403"/>
    </row>
    <row r="293" spans="4:37" x14ac:dyDescent="0.25">
      <c r="D293" s="120"/>
      <c r="H293" s="120"/>
      <c r="L293" s="120"/>
      <c r="P293" s="120"/>
      <c r="T293" s="120"/>
      <c r="X293" s="120"/>
      <c r="AB293" s="120"/>
      <c r="AF293" s="120"/>
      <c r="AG293" s="120"/>
      <c r="AK293" s="403"/>
    </row>
    <row r="294" spans="4:37" x14ac:dyDescent="0.25">
      <c r="D294" s="120"/>
      <c r="H294" s="120"/>
      <c r="L294" s="120"/>
      <c r="P294" s="120"/>
      <c r="T294" s="120"/>
      <c r="X294" s="120"/>
      <c r="AB294" s="120"/>
      <c r="AF294" s="120"/>
      <c r="AG294" s="120"/>
      <c r="AK294" s="403"/>
    </row>
    <row r="295" spans="4:37" x14ac:dyDescent="0.25">
      <c r="D295" s="120"/>
      <c r="H295" s="120"/>
      <c r="L295" s="120"/>
      <c r="P295" s="120"/>
      <c r="T295" s="120"/>
      <c r="X295" s="120"/>
      <c r="AB295" s="120"/>
      <c r="AF295" s="120"/>
      <c r="AG295" s="120"/>
      <c r="AK295" s="403"/>
    </row>
    <row r="296" spans="4:37" x14ac:dyDescent="0.25">
      <c r="D296" s="120"/>
      <c r="H296" s="120"/>
      <c r="L296" s="120"/>
      <c r="P296" s="120"/>
      <c r="T296" s="120"/>
      <c r="X296" s="120"/>
      <c r="AB296" s="120"/>
      <c r="AF296" s="120"/>
      <c r="AG296" s="120"/>
      <c r="AK296" s="403"/>
    </row>
    <row r="297" spans="4:37" x14ac:dyDescent="0.25">
      <c r="D297" s="120"/>
      <c r="H297" s="120"/>
      <c r="L297" s="120"/>
      <c r="P297" s="120"/>
      <c r="T297" s="120"/>
      <c r="X297" s="120"/>
      <c r="AB297" s="120"/>
      <c r="AF297" s="120"/>
      <c r="AG297" s="120"/>
      <c r="AK297" s="403"/>
    </row>
    <row r="298" spans="4:37" x14ac:dyDescent="0.25">
      <c r="D298" s="120"/>
      <c r="H298" s="120"/>
      <c r="L298" s="120"/>
      <c r="P298" s="120"/>
      <c r="T298" s="120"/>
      <c r="X298" s="120"/>
      <c r="AB298" s="120"/>
      <c r="AF298" s="120"/>
      <c r="AG298" s="120"/>
      <c r="AK298" s="403"/>
    </row>
    <row r="299" spans="4:37" x14ac:dyDescent="0.25">
      <c r="D299" s="120"/>
      <c r="H299" s="120"/>
      <c r="L299" s="120"/>
      <c r="P299" s="120"/>
      <c r="T299" s="120"/>
      <c r="X299" s="120"/>
      <c r="AB299" s="120"/>
      <c r="AF299" s="120"/>
      <c r="AG299" s="120"/>
      <c r="AK299" s="403"/>
    </row>
    <row r="300" spans="4:37" x14ac:dyDescent="0.25">
      <c r="D300" s="120"/>
      <c r="H300" s="120"/>
      <c r="L300" s="120"/>
      <c r="P300" s="120"/>
      <c r="T300" s="120"/>
      <c r="X300" s="120"/>
      <c r="AB300" s="120"/>
      <c r="AF300" s="120"/>
      <c r="AG300" s="120"/>
      <c r="AK300" s="403"/>
    </row>
    <row r="301" spans="4:37" x14ac:dyDescent="0.25">
      <c r="D301" s="120"/>
      <c r="H301" s="120"/>
      <c r="L301" s="120"/>
      <c r="P301" s="120"/>
      <c r="T301" s="120"/>
      <c r="X301" s="120"/>
      <c r="AB301" s="120"/>
      <c r="AF301" s="120"/>
      <c r="AG301" s="120"/>
      <c r="AK301" s="403"/>
    </row>
    <row r="302" spans="4:37" x14ac:dyDescent="0.25">
      <c r="D302" s="120"/>
      <c r="H302" s="120"/>
      <c r="L302" s="120"/>
      <c r="P302" s="120"/>
      <c r="T302" s="120"/>
      <c r="X302" s="120"/>
      <c r="AB302" s="120"/>
      <c r="AF302" s="120"/>
      <c r="AG302" s="120"/>
      <c r="AK302" s="403"/>
    </row>
    <row r="303" spans="4:37" x14ac:dyDescent="0.25">
      <c r="D303" s="120"/>
      <c r="H303" s="120"/>
      <c r="L303" s="120"/>
      <c r="P303" s="120"/>
      <c r="T303" s="120"/>
      <c r="X303" s="120"/>
      <c r="AB303" s="120"/>
      <c r="AF303" s="120"/>
      <c r="AG303" s="120"/>
      <c r="AK303" s="403"/>
    </row>
    <row r="304" spans="4:37" x14ac:dyDescent="0.25">
      <c r="D304" s="120"/>
      <c r="H304" s="120"/>
      <c r="L304" s="120"/>
      <c r="P304" s="120"/>
      <c r="T304" s="120"/>
      <c r="X304" s="120"/>
      <c r="AB304" s="120"/>
      <c r="AF304" s="120"/>
      <c r="AG304" s="120"/>
      <c r="AK304" s="403"/>
    </row>
    <row r="305" spans="4:37" x14ac:dyDescent="0.25">
      <c r="D305" s="120"/>
      <c r="H305" s="120"/>
      <c r="L305" s="120"/>
      <c r="P305" s="120"/>
      <c r="T305" s="120"/>
      <c r="X305" s="120"/>
      <c r="AB305" s="120"/>
      <c r="AF305" s="120"/>
      <c r="AG305" s="120"/>
      <c r="AK305" s="403"/>
    </row>
    <row r="306" spans="4:37" x14ac:dyDescent="0.25">
      <c r="D306" s="120"/>
      <c r="H306" s="120"/>
      <c r="L306" s="120"/>
      <c r="P306" s="120"/>
      <c r="T306" s="120"/>
      <c r="X306" s="120"/>
      <c r="AB306" s="120"/>
      <c r="AF306" s="120"/>
      <c r="AG306" s="120"/>
      <c r="AK306" s="403"/>
    </row>
    <row r="307" spans="4:37" x14ac:dyDescent="0.25">
      <c r="D307" s="120"/>
      <c r="H307" s="120"/>
      <c r="L307" s="120"/>
      <c r="P307" s="120"/>
      <c r="T307" s="120"/>
      <c r="X307" s="120"/>
      <c r="AB307" s="120"/>
      <c r="AF307" s="120"/>
      <c r="AG307" s="120"/>
      <c r="AK307" s="403"/>
    </row>
    <row r="308" spans="4:37" x14ac:dyDescent="0.25">
      <c r="D308" s="120"/>
      <c r="H308" s="120"/>
      <c r="L308" s="120"/>
      <c r="P308" s="120"/>
      <c r="T308" s="120"/>
      <c r="X308" s="120"/>
      <c r="AB308" s="120"/>
      <c r="AF308" s="120"/>
      <c r="AG308" s="120"/>
      <c r="AK308" s="403"/>
    </row>
    <row r="309" spans="4:37" x14ac:dyDescent="0.25">
      <c r="D309" s="120"/>
      <c r="H309" s="120"/>
      <c r="L309" s="120"/>
      <c r="P309" s="120"/>
      <c r="T309" s="120"/>
      <c r="X309" s="120"/>
      <c r="AB309" s="120"/>
      <c r="AF309" s="120"/>
      <c r="AG309" s="120"/>
      <c r="AK309" s="403"/>
    </row>
    <row r="310" spans="4:37" x14ac:dyDescent="0.25">
      <c r="D310" s="120"/>
      <c r="H310" s="120"/>
      <c r="L310" s="120"/>
      <c r="P310" s="120"/>
      <c r="T310" s="120"/>
      <c r="X310" s="120"/>
      <c r="AB310" s="120"/>
      <c r="AF310" s="120"/>
      <c r="AG310" s="120"/>
      <c r="AK310" s="403"/>
    </row>
    <row r="311" spans="4:37" x14ac:dyDescent="0.25">
      <c r="D311" s="120"/>
      <c r="H311" s="120"/>
      <c r="L311" s="120"/>
      <c r="P311" s="120"/>
      <c r="T311" s="120"/>
      <c r="X311" s="120"/>
      <c r="AB311" s="120"/>
      <c r="AF311" s="120"/>
      <c r="AG311" s="120"/>
      <c r="AK311" s="403"/>
    </row>
    <row r="312" spans="4:37" x14ac:dyDescent="0.25">
      <c r="D312" s="120"/>
      <c r="H312" s="120"/>
      <c r="L312" s="120"/>
      <c r="P312" s="120"/>
      <c r="T312" s="120"/>
      <c r="X312" s="120"/>
      <c r="AB312" s="120"/>
      <c r="AF312" s="120"/>
      <c r="AG312" s="120"/>
      <c r="AK312" s="403"/>
    </row>
    <row r="313" spans="4:37" x14ac:dyDescent="0.25">
      <c r="D313" s="120"/>
      <c r="H313" s="120"/>
      <c r="L313" s="120"/>
      <c r="P313" s="120"/>
      <c r="T313" s="120"/>
      <c r="X313" s="120"/>
      <c r="AB313" s="120"/>
      <c r="AF313" s="120"/>
      <c r="AG313" s="120"/>
      <c r="AK313" s="403"/>
    </row>
    <row r="314" spans="4:37" x14ac:dyDescent="0.25">
      <c r="D314" s="120"/>
      <c r="H314" s="120"/>
      <c r="L314" s="120"/>
      <c r="P314" s="120"/>
      <c r="T314" s="120"/>
      <c r="X314" s="120"/>
      <c r="AB314" s="120"/>
      <c r="AF314" s="120"/>
      <c r="AG314" s="120"/>
      <c r="AK314" s="403"/>
    </row>
    <row r="315" spans="4:37" x14ac:dyDescent="0.25">
      <c r="D315" s="120"/>
      <c r="H315" s="120"/>
      <c r="L315" s="120"/>
      <c r="P315" s="120"/>
      <c r="T315" s="120"/>
      <c r="X315" s="120"/>
      <c r="AB315" s="120"/>
      <c r="AF315" s="120"/>
      <c r="AG315" s="120"/>
      <c r="AK315" s="403"/>
    </row>
    <row r="316" spans="4:37" x14ac:dyDescent="0.25">
      <c r="D316" s="120"/>
      <c r="H316" s="120"/>
      <c r="L316" s="120"/>
      <c r="P316" s="120"/>
      <c r="T316" s="120"/>
      <c r="X316" s="120"/>
      <c r="AB316" s="120"/>
      <c r="AF316" s="120"/>
      <c r="AG316" s="120"/>
      <c r="AK316" s="403"/>
    </row>
    <row r="317" spans="4:37" x14ac:dyDescent="0.25">
      <c r="D317" s="120"/>
      <c r="H317" s="120"/>
      <c r="L317" s="120"/>
      <c r="P317" s="120"/>
      <c r="T317" s="120"/>
      <c r="X317" s="120"/>
      <c r="AB317" s="120"/>
      <c r="AF317" s="120"/>
      <c r="AG317" s="120"/>
      <c r="AK317" s="403"/>
    </row>
    <row r="318" spans="4:37" x14ac:dyDescent="0.25">
      <c r="D318" s="120"/>
      <c r="H318" s="120"/>
      <c r="L318" s="120"/>
      <c r="P318" s="120"/>
      <c r="T318" s="120"/>
      <c r="X318" s="120"/>
      <c r="AB318" s="120"/>
      <c r="AF318" s="120"/>
      <c r="AG318" s="120"/>
      <c r="AK318" s="403"/>
    </row>
    <row r="319" spans="4:37" x14ac:dyDescent="0.25">
      <c r="D319" s="120"/>
      <c r="H319" s="120"/>
      <c r="L319" s="120"/>
      <c r="P319" s="120"/>
      <c r="T319" s="120"/>
      <c r="X319" s="120"/>
      <c r="AB319" s="120"/>
      <c r="AF319" s="120"/>
      <c r="AG319" s="120"/>
      <c r="AK319" s="403"/>
    </row>
    <row r="320" spans="4:37" x14ac:dyDescent="0.25">
      <c r="D320" s="120"/>
      <c r="H320" s="120"/>
      <c r="L320" s="120"/>
      <c r="P320" s="120"/>
      <c r="T320" s="120"/>
      <c r="X320" s="120"/>
      <c r="AB320" s="120"/>
      <c r="AF320" s="120"/>
      <c r="AG320" s="120"/>
      <c r="AK320" s="403"/>
    </row>
    <row r="321" spans="4:37" x14ac:dyDescent="0.25">
      <c r="D321" s="120"/>
      <c r="H321" s="120"/>
      <c r="L321" s="120"/>
      <c r="P321" s="120"/>
      <c r="T321" s="120"/>
      <c r="X321" s="120"/>
      <c r="AB321" s="120"/>
      <c r="AF321" s="120"/>
      <c r="AG321" s="120"/>
      <c r="AK321" s="403"/>
    </row>
    <row r="322" spans="4:37" x14ac:dyDescent="0.25">
      <c r="D322" s="120"/>
      <c r="H322" s="120"/>
      <c r="L322" s="120"/>
      <c r="P322" s="120"/>
      <c r="T322" s="120"/>
      <c r="X322" s="120"/>
      <c r="AB322" s="120"/>
      <c r="AF322" s="120"/>
      <c r="AG322" s="120"/>
      <c r="AK322" s="403"/>
    </row>
    <row r="323" spans="4:37" x14ac:dyDescent="0.25">
      <c r="D323" s="120"/>
      <c r="H323" s="120"/>
      <c r="L323" s="120"/>
      <c r="P323" s="120"/>
      <c r="T323" s="120"/>
      <c r="X323" s="120"/>
      <c r="AB323" s="120"/>
      <c r="AF323" s="120"/>
      <c r="AG323" s="120"/>
      <c r="AK323" s="403"/>
    </row>
    <row r="324" spans="4:37" x14ac:dyDescent="0.25">
      <c r="D324" s="120"/>
      <c r="H324" s="120"/>
      <c r="L324" s="120"/>
      <c r="P324" s="120"/>
      <c r="T324" s="120"/>
      <c r="X324" s="120"/>
      <c r="AB324" s="120"/>
      <c r="AF324" s="120"/>
      <c r="AG324" s="120"/>
      <c r="AK324" s="403"/>
    </row>
    <row r="325" spans="4:37" x14ac:dyDescent="0.25">
      <c r="D325" s="120"/>
      <c r="H325" s="120"/>
      <c r="L325" s="120"/>
      <c r="P325" s="120"/>
      <c r="T325" s="120"/>
      <c r="X325" s="120"/>
      <c r="AB325" s="120"/>
      <c r="AF325" s="120"/>
      <c r="AG325" s="120"/>
      <c r="AK325" s="403"/>
    </row>
    <row r="326" spans="4:37" x14ac:dyDescent="0.25">
      <c r="D326" s="120"/>
      <c r="H326" s="120"/>
      <c r="L326" s="120"/>
      <c r="P326" s="120"/>
      <c r="T326" s="120"/>
      <c r="X326" s="120"/>
      <c r="AB326" s="120"/>
      <c r="AF326" s="120"/>
      <c r="AG326" s="120"/>
      <c r="AK326" s="403"/>
    </row>
    <row r="327" spans="4:37" x14ac:dyDescent="0.25">
      <c r="D327" s="120"/>
      <c r="H327" s="120"/>
      <c r="L327" s="120"/>
      <c r="P327" s="120"/>
      <c r="T327" s="120"/>
      <c r="X327" s="120"/>
      <c r="AB327" s="120"/>
      <c r="AF327" s="120"/>
      <c r="AG327" s="120"/>
      <c r="AK327" s="403"/>
    </row>
    <row r="328" spans="4:37" x14ac:dyDescent="0.25">
      <c r="D328" s="120"/>
      <c r="H328" s="120"/>
      <c r="L328" s="120"/>
      <c r="P328" s="120"/>
      <c r="T328" s="120"/>
      <c r="X328" s="120"/>
      <c r="AB328" s="120"/>
      <c r="AF328" s="120"/>
      <c r="AG328" s="120"/>
      <c r="AK328" s="403"/>
    </row>
    <row r="329" spans="4:37" x14ac:dyDescent="0.25">
      <c r="D329" s="120"/>
      <c r="H329" s="120"/>
      <c r="L329" s="120"/>
      <c r="P329" s="120"/>
      <c r="T329" s="120"/>
      <c r="X329" s="120"/>
      <c r="AB329" s="120"/>
      <c r="AF329" s="120"/>
      <c r="AG329" s="120"/>
      <c r="AK329" s="403"/>
    </row>
    <row r="330" spans="4:37" x14ac:dyDescent="0.25">
      <c r="D330" s="120"/>
      <c r="H330" s="120"/>
      <c r="L330" s="120"/>
      <c r="P330" s="120"/>
      <c r="T330" s="120"/>
      <c r="X330" s="120"/>
      <c r="AB330" s="120"/>
      <c r="AF330" s="120"/>
      <c r="AG330" s="120"/>
      <c r="AK330" s="403"/>
    </row>
    <row r="331" spans="4:37" x14ac:dyDescent="0.25">
      <c r="D331" s="120"/>
      <c r="H331" s="120"/>
      <c r="L331" s="120"/>
      <c r="P331" s="120"/>
      <c r="T331" s="120"/>
      <c r="X331" s="120"/>
      <c r="AB331" s="120"/>
      <c r="AF331" s="120"/>
      <c r="AG331" s="120"/>
      <c r="AK331" s="403"/>
    </row>
    <row r="332" spans="4:37" x14ac:dyDescent="0.25">
      <c r="D332" s="120"/>
      <c r="H332" s="120"/>
      <c r="L332" s="120"/>
      <c r="P332" s="120"/>
      <c r="T332" s="120"/>
      <c r="X332" s="120"/>
      <c r="AB332" s="120"/>
      <c r="AF332" s="120"/>
      <c r="AG332" s="120"/>
      <c r="AK332" s="403"/>
    </row>
    <row r="333" spans="4:37" x14ac:dyDescent="0.25">
      <c r="D333" s="120"/>
      <c r="H333" s="120"/>
      <c r="L333" s="120"/>
      <c r="P333" s="120"/>
      <c r="T333" s="120"/>
      <c r="X333" s="120"/>
      <c r="AB333" s="120"/>
      <c r="AF333" s="120"/>
      <c r="AG333" s="120"/>
      <c r="AK333" s="403"/>
    </row>
    <row r="334" spans="4:37" x14ac:dyDescent="0.25">
      <c r="D334" s="120"/>
      <c r="H334" s="120"/>
      <c r="L334" s="120"/>
      <c r="P334" s="120"/>
      <c r="T334" s="120"/>
      <c r="X334" s="120"/>
      <c r="AB334" s="120"/>
      <c r="AF334" s="120"/>
      <c r="AG334" s="120"/>
      <c r="AK334" s="403"/>
    </row>
    <row r="335" spans="4:37" x14ac:dyDescent="0.25">
      <c r="D335" s="120"/>
      <c r="H335" s="120"/>
      <c r="L335" s="120"/>
      <c r="P335" s="120"/>
      <c r="T335" s="120"/>
      <c r="X335" s="120"/>
      <c r="AB335" s="120"/>
      <c r="AF335" s="120"/>
      <c r="AG335" s="120"/>
      <c r="AK335" s="403"/>
    </row>
    <row r="336" spans="4:37" x14ac:dyDescent="0.25">
      <c r="D336" s="120"/>
      <c r="H336" s="120"/>
      <c r="L336" s="120"/>
      <c r="P336" s="120"/>
      <c r="T336" s="120"/>
      <c r="X336" s="120"/>
      <c r="AB336" s="120"/>
      <c r="AF336" s="120"/>
      <c r="AG336" s="120"/>
      <c r="AK336" s="403"/>
    </row>
    <row r="337" spans="4:37" x14ac:dyDescent="0.25">
      <c r="D337" s="120"/>
      <c r="H337" s="120"/>
      <c r="L337" s="120"/>
      <c r="P337" s="120"/>
      <c r="T337" s="120"/>
      <c r="X337" s="120"/>
      <c r="AB337" s="120"/>
      <c r="AF337" s="120"/>
      <c r="AG337" s="120"/>
      <c r="AK337" s="403"/>
    </row>
    <row r="338" spans="4:37" x14ac:dyDescent="0.25">
      <c r="D338" s="120"/>
      <c r="H338" s="120"/>
      <c r="L338" s="120"/>
      <c r="P338" s="120"/>
      <c r="T338" s="120"/>
      <c r="X338" s="120"/>
      <c r="AB338" s="120"/>
      <c r="AF338" s="120"/>
      <c r="AG338" s="120"/>
      <c r="AK338" s="403"/>
    </row>
    <row r="339" spans="4:37" x14ac:dyDescent="0.25">
      <c r="D339" s="120"/>
      <c r="H339" s="120"/>
      <c r="L339" s="120"/>
      <c r="P339" s="120"/>
      <c r="T339" s="120"/>
      <c r="X339" s="120"/>
      <c r="AB339" s="120"/>
      <c r="AF339" s="120"/>
      <c r="AG339" s="120"/>
      <c r="AK339" s="403"/>
    </row>
    <row r="340" spans="4:37" x14ac:dyDescent="0.25">
      <c r="D340" s="120"/>
      <c r="H340" s="120"/>
      <c r="L340" s="120"/>
      <c r="P340" s="120"/>
      <c r="T340" s="120"/>
      <c r="X340" s="120"/>
      <c r="AB340" s="120"/>
      <c r="AF340" s="120"/>
      <c r="AG340" s="120"/>
      <c r="AK340" s="403"/>
    </row>
    <row r="341" spans="4:37" x14ac:dyDescent="0.25">
      <c r="D341" s="120"/>
      <c r="H341" s="120"/>
      <c r="L341" s="120"/>
      <c r="P341" s="120"/>
      <c r="T341" s="120"/>
      <c r="X341" s="120"/>
      <c r="AB341" s="120"/>
      <c r="AF341" s="120"/>
      <c r="AG341" s="120"/>
      <c r="AK341" s="403"/>
    </row>
    <row r="342" spans="4:37" x14ac:dyDescent="0.25">
      <c r="D342" s="120"/>
      <c r="H342" s="120"/>
      <c r="L342" s="120"/>
      <c r="P342" s="120"/>
      <c r="T342" s="120"/>
      <c r="X342" s="120"/>
      <c r="AB342" s="120"/>
      <c r="AF342" s="120"/>
      <c r="AG342" s="120"/>
      <c r="AK342" s="403"/>
    </row>
    <row r="343" spans="4:37" x14ac:dyDescent="0.25">
      <c r="D343" s="120"/>
      <c r="H343" s="120"/>
      <c r="L343" s="120"/>
      <c r="P343" s="120"/>
      <c r="T343" s="120"/>
      <c r="X343" s="120"/>
      <c r="AB343" s="120"/>
      <c r="AF343" s="120"/>
      <c r="AG343" s="120"/>
      <c r="AK343" s="403"/>
    </row>
    <row r="344" spans="4:37" x14ac:dyDescent="0.25">
      <c r="D344" s="120"/>
      <c r="H344" s="120"/>
      <c r="L344" s="120"/>
      <c r="P344" s="120"/>
      <c r="T344" s="120"/>
      <c r="X344" s="120"/>
      <c r="AB344" s="120"/>
      <c r="AF344" s="120"/>
      <c r="AG344" s="120"/>
      <c r="AK344" s="403"/>
    </row>
    <row r="345" spans="4:37" x14ac:dyDescent="0.25">
      <c r="D345" s="120"/>
      <c r="H345" s="120"/>
      <c r="L345" s="120"/>
      <c r="P345" s="120"/>
      <c r="T345" s="120"/>
      <c r="X345" s="120"/>
      <c r="AB345" s="120"/>
      <c r="AF345" s="120"/>
      <c r="AG345" s="120"/>
      <c r="AK345" s="403"/>
    </row>
    <row r="346" spans="4:37" x14ac:dyDescent="0.25">
      <c r="D346" s="120"/>
      <c r="H346" s="120"/>
      <c r="L346" s="120"/>
      <c r="P346" s="120"/>
      <c r="T346" s="120"/>
      <c r="X346" s="120"/>
      <c r="AB346" s="120"/>
      <c r="AF346" s="120"/>
      <c r="AG346" s="120"/>
      <c r="AK346" s="403"/>
    </row>
    <row r="347" spans="4:37" x14ac:dyDescent="0.25">
      <c r="D347" s="120"/>
      <c r="H347" s="120"/>
      <c r="L347" s="120"/>
      <c r="P347" s="120"/>
      <c r="T347" s="120"/>
      <c r="X347" s="120"/>
      <c r="AB347" s="120"/>
      <c r="AF347" s="120"/>
      <c r="AG347" s="120"/>
      <c r="AK347" s="403"/>
    </row>
    <row r="348" spans="4:37" x14ac:dyDescent="0.25">
      <c r="D348" s="120"/>
      <c r="H348" s="120"/>
      <c r="L348" s="120"/>
      <c r="P348" s="120"/>
      <c r="T348" s="120"/>
      <c r="X348" s="120"/>
      <c r="AB348" s="120"/>
      <c r="AF348" s="120"/>
      <c r="AG348" s="120"/>
      <c r="AK348" s="403"/>
    </row>
    <row r="349" spans="4:37" x14ac:dyDescent="0.25">
      <c r="D349" s="120"/>
      <c r="H349" s="120"/>
      <c r="L349" s="120"/>
      <c r="P349" s="120"/>
      <c r="T349" s="120"/>
      <c r="X349" s="120"/>
      <c r="AB349" s="120"/>
      <c r="AF349" s="120"/>
      <c r="AG349" s="120"/>
      <c r="AK349" s="403"/>
    </row>
    <row r="350" spans="4:37" x14ac:dyDescent="0.25">
      <c r="D350" s="120"/>
      <c r="H350" s="120"/>
      <c r="L350" s="120"/>
      <c r="P350" s="120"/>
      <c r="T350" s="120"/>
      <c r="X350" s="120"/>
      <c r="AB350" s="120"/>
      <c r="AF350" s="120"/>
      <c r="AG350" s="120"/>
      <c r="AK350" s="403"/>
    </row>
    <row r="351" spans="4:37" x14ac:dyDescent="0.25">
      <c r="D351" s="120"/>
      <c r="H351" s="120"/>
      <c r="L351" s="120"/>
      <c r="P351" s="120"/>
      <c r="T351" s="120"/>
      <c r="X351" s="120"/>
      <c r="AB351" s="120"/>
      <c r="AF351" s="120"/>
      <c r="AG351" s="120"/>
      <c r="AK351" s="403"/>
    </row>
    <row r="352" spans="4:37" x14ac:dyDescent="0.25">
      <c r="D352" s="120"/>
      <c r="H352" s="120"/>
      <c r="L352" s="120"/>
      <c r="P352" s="120"/>
      <c r="T352" s="120"/>
      <c r="X352" s="120"/>
      <c r="AB352" s="120"/>
      <c r="AF352" s="120"/>
      <c r="AG352" s="120"/>
      <c r="AK352" s="403"/>
    </row>
    <row r="353" spans="4:37" x14ac:dyDescent="0.25">
      <c r="D353" s="120"/>
      <c r="H353" s="120"/>
      <c r="L353" s="120"/>
      <c r="P353" s="120"/>
      <c r="T353" s="120"/>
      <c r="X353" s="120"/>
      <c r="AB353" s="120"/>
      <c r="AF353" s="120"/>
      <c r="AG353" s="120"/>
      <c r="AK353" s="403"/>
    </row>
    <row r="354" spans="4:37" x14ac:dyDescent="0.25">
      <c r="D354" s="120"/>
      <c r="H354" s="120"/>
      <c r="L354" s="120"/>
      <c r="P354" s="120"/>
      <c r="T354" s="120"/>
      <c r="X354" s="120"/>
      <c r="AB354" s="120"/>
      <c r="AF354" s="120"/>
      <c r="AG354" s="120"/>
      <c r="AK354" s="403"/>
    </row>
    <row r="355" spans="4:37" x14ac:dyDescent="0.25">
      <c r="D355" s="120"/>
      <c r="H355" s="120"/>
      <c r="L355" s="120"/>
      <c r="P355" s="120"/>
      <c r="T355" s="120"/>
      <c r="X355" s="120"/>
      <c r="AB355" s="120"/>
      <c r="AF355" s="120"/>
      <c r="AG355" s="120"/>
      <c r="AK355" s="403"/>
    </row>
    <row r="356" spans="4:37" x14ac:dyDescent="0.25">
      <c r="D356" s="120"/>
      <c r="H356" s="120"/>
      <c r="L356" s="120"/>
      <c r="P356" s="120"/>
      <c r="T356" s="120"/>
      <c r="X356" s="120"/>
      <c r="AB356" s="120"/>
      <c r="AF356" s="120"/>
      <c r="AG356" s="120"/>
      <c r="AK356" s="403"/>
    </row>
    <row r="357" spans="4:37" x14ac:dyDescent="0.25">
      <c r="D357" s="120"/>
      <c r="H357" s="120"/>
      <c r="L357" s="120"/>
      <c r="P357" s="120"/>
      <c r="T357" s="120"/>
      <c r="X357" s="120"/>
      <c r="AB357" s="120"/>
      <c r="AF357" s="120"/>
      <c r="AG357" s="120"/>
      <c r="AK357" s="403"/>
    </row>
    <row r="358" spans="4:37" x14ac:dyDescent="0.25">
      <c r="D358" s="120"/>
      <c r="H358" s="120"/>
      <c r="L358" s="120"/>
      <c r="P358" s="120"/>
      <c r="T358" s="120"/>
      <c r="X358" s="120"/>
      <c r="AB358" s="120"/>
      <c r="AF358" s="120"/>
      <c r="AG358" s="120"/>
      <c r="AK358" s="403"/>
    </row>
    <row r="359" spans="4:37" x14ac:dyDescent="0.25">
      <c r="D359" s="120"/>
      <c r="H359" s="120"/>
      <c r="L359" s="120"/>
      <c r="P359" s="120"/>
      <c r="T359" s="120"/>
      <c r="X359" s="120"/>
      <c r="AB359" s="120"/>
      <c r="AF359" s="120"/>
      <c r="AG359" s="120"/>
      <c r="AK359" s="403"/>
    </row>
    <row r="360" spans="4:37" x14ac:dyDescent="0.25">
      <c r="D360" s="120"/>
      <c r="H360" s="120"/>
      <c r="L360" s="120"/>
      <c r="P360" s="120"/>
      <c r="T360" s="120"/>
      <c r="X360" s="120"/>
      <c r="AB360" s="120"/>
      <c r="AF360" s="120"/>
      <c r="AG360" s="120"/>
      <c r="AK360" s="403"/>
    </row>
    <row r="361" spans="4:37" x14ac:dyDescent="0.25">
      <c r="D361" s="120"/>
      <c r="H361" s="120"/>
      <c r="L361" s="120"/>
      <c r="P361" s="120"/>
      <c r="T361" s="120"/>
      <c r="X361" s="120"/>
      <c r="AB361" s="120"/>
      <c r="AF361" s="120"/>
      <c r="AG361" s="120"/>
      <c r="AK361" s="403"/>
    </row>
    <row r="362" spans="4:37" x14ac:dyDescent="0.25">
      <c r="D362" s="120"/>
      <c r="H362" s="120"/>
      <c r="L362" s="120"/>
      <c r="P362" s="120"/>
      <c r="T362" s="120"/>
      <c r="X362" s="120"/>
      <c r="AB362" s="120"/>
      <c r="AF362" s="120"/>
      <c r="AG362" s="120"/>
      <c r="AK362" s="403"/>
    </row>
    <row r="363" spans="4:37" x14ac:dyDescent="0.25">
      <c r="D363" s="120"/>
      <c r="H363" s="120"/>
      <c r="L363" s="120"/>
      <c r="P363" s="120"/>
      <c r="T363" s="120"/>
      <c r="X363" s="120"/>
      <c r="AB363" s="120"/>
      <c r="AF363" s="120"/>
      <c r="AG363" s="120"/>
      <c r="AK363" s="403"/>
    </row>
    <row r="364" spans="4:37" x14ac:dyDescent="0.25">
      <c r="D364" s="120"/>
      <c r="H364" s="120"/>
      <c r="L364" s="120"/>
      <c r="P364" s="120"/>
      <c r="T364" s="120"/>
      <c r="X364" s="120"/>
      <c r="AB364" s="120"/>
      <c r="AF364" s="120"/>
      <c r="AG364" s="120"/>
      <c r="AK364" s="403"/>
    </row>
    <row r="365" spans="4:37" x14ac:dyDescent="0.25">
      <c r="D365" s="120"/>
      <c r="H365" s="120"/>
      <c r="L365" s="120"/>
      <c r="P365" s="120"/>
      <c r="T365" s="120"/>
      <c r="X365" s="120"/>
      <c r="AB365" s="120"/>
      <c r="AF365" s="120"/>
      <c r="AG365" s="120"/>
      <c r="AK365" s="403"/>
    </row>
    <row r="366" spans="4:37" x14ac:dyDescent="0.25">
      <c r="D366" s="120"/>
      <c r="H366" s="120"/>
      <c r="L366" s="120"/>
      <c r="P366" s="120"/>
      <c r="T366" s="120"/>
      <c r="X366" s="120"/>
      <c r="AB366" s="120"/>
      <c r="AF366" s="120"/>
      <c r="AG366" s="120"/>
      <c r="AK366" s="403"/>
    </row>
    <row r="367" spans="4:37" x14ac:dyDescent="0.25">
      <c r="D367" s="120"/>
      <c r="H367" s="120"/>
      <c r="L367" s="120"/>
      <c r="P367" s="120"/>
      <c r="T367" s="120"/>
      <c r="X367" s="120"/>
      <c r="AB367" s="120"/>
      <c r="AF367" s="120"/>
      <c r="AG367" s="120"/>
      <c r="AK367" s="403"/>
    </row>
    <row r="368" spans="4:37" x14ac:dyDescent="0.25">
      <c r="D368" s="120"/>
      <c r="H368" s="120"/>
      <c r="L368" s="120"/>
      <c r="P368" s="120"/>
      <c r="T368" s="120"/>
      <c r="X368" s="120"/>
      <c r="AB368" s="120"/>
      <c r="AF368" s="120"/>
      <c r="AG368" s="120"/>
      <c r="AK368" s="403"/>
    </row>
    <row r="369" spans="4:37" x14ac:dyDescent="0.25">
      <c r="D369" s="120"/>
      <c r="H369" s="120"/>
      <c r="L369" s="120"/>
      <c r="P369" s="120"/>
      <c r="T369" s="120"/>
      <c r="X369" s="120"/>
      <c r="AB369" s="120"/>
      <c r="AF369" s="120"/>
      <c r="AG369" s="120"/>
      <c r="AK369" s="403"/>
    </row>
    <row r="370" spans="4:37" x14ac:dyDescent="0.25">
      <c r="D370" s="120"/>
      <c r="H370" s="120"/>
      <c r="L370" s="120"/>
      <c r="P370" s="120"/>
      <c r="T370" s="120"/>
      <c r="X370" s="120"/>
      <c r="AB370" s="120"/>
      <c r="AF370" s="120"/>
      <c r="AG370" s="120"/>
      <c r="AK370" s="403"/>
    </row>
    <row r="371" spans="4:37" x14ac:dyDescent="0.25">
      <c r="D371" s="120"/>
      <c r="H371" s="120"/>
      <c r="L371" s="120"/>
      <c r="P371" s="120"/>
      <c r="T371" s="120"/>
      <c r="X371" s="120"/>
      <c r="AB371" s="120"/>
      <c r="AF371" s="120"/>
      <c r="AG371" s="120"/>
      <c r="AK371" s="403"/>
    </row>
    <row r="372" spans="4:37" x14ac:dyDescent="0.25">
      <c r="D372" s="120"/>
      <c r="H372" s="120"/>
      <c r="L372" s="120"/>
      <c r="P372" s="120"/>
      <c r="T372" s="120"/>
      <c r="X372" s="120"/>
      <c r="AB372" s="120"/>
      <c r="AF372" s="120"/>
      <c r="AG372" s="120"/>
      <c r="AK372" s="403"/>
    </row>
    <row r="373" spans="4:37" x14ac:dyDescent="0.25">
      <c r="D373" s="120"/>
      <c r="H373" s="120"/>
      <c r="L373" s="120"/>
      <c r="P373" s="120"/>
      <c r="T373" s="120"/>
      <c r="X373" s="120"/>
      <c r="AB373" s="120"/>
      <c r="AF373" s="120"/>
      <c r="AG373" s="120"/>
      <c r="AK373" s="403"/>
    </row>
    <row r="374" spans="4:37" x14ac:dyDescent="0.25">
      <c r="D374" s="120"/>
      <c r="H374" s="120"/>
      <c r="L374" s="120"/>
      <c r="P374" s="120"/>
      <c r="T374" s="120"/>
      <c r="X374" s="120"/>
      <c r="AB374" s="120"/>
      <c r="AF374" s="120"/>
      <c r="AG374" s="120"/>
      <c r="AK374" s="403"/>
    </row>
    <row r="375" spans="4:37" x14ac:dyDescent="0.25">
      <c r="D375" s="120"/>
      <c r="H375" s="120"/>
      <c r="L375" s="120"/>
      <c r="P375" s="120"/>
      <c r="T375" s="120"/>
      <c r="X375" s="120"/>
      <c r="AB375" s="120"/>
      <c r="AF375" s="120"/>
      <c r="AG375" s="120"/>
      <c r="AK375" s="403"/>
    </row>
  </sheetData>
  <mergeCells count="10">
    <mergeCell ref="D3:F3"/>
    <mergeCell ref="T3:V3"/>
    <mergeCell ref="X3:Z3"/>
    <mergeCell ref="AB3:AD3"/>
    <mergeCell ref="AO3:AR3"/>
    <mergeCell ref="AF3:AI3"/>
    <mergeCell ref="P3:R3"/>
    <mergeCell ref="H3:J3"/>
    <mergeCell ref="L3:N3"/>
    <mergeCell ref="AK3:AM3"/>
  </mergeCells>
  <pageMargins left="0.75" right="0.75" top="1" bottom="1" header="0.5" footer="0.5"/>
  <pageSetup paperSize="5" scale="70" orientation="landscape" r:id="rId1"/>
  <headerFooter alignWithMargins="0">
    <oddHeader>&amp;C&amp;"-,Bold"Proposed Budget &amp; Analysis Report for FY20</oddHeader>
    <oddFooter>&amp;C&amp;D&amp;T&amp;R&amp;A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108</vt:i4>
      </vt:variant>
    </vt:vector>
  </HeadingPairs>
  <TitlesOfParts>
    <vt:vector size="167" baseType="lpstr">
      <vt:lpstr>Sources of Available Funds</vt:lpstr>
      <vt:lpstr>tax rate history</vt:lpstr>
      <vt:lpstr>DATA</vt:lpstr>
      <vt:lpstr>FY20 Payroll Schedule</vt:lpstr>
      <vt:lpstr>FY20 2.20% COLA</vt:lpstr>
      <vt:lpstr>114-Moderator</vt:lpstr>
      <vt:lpstr>122-Selectmen</vt:lpstr>
      <vt:lpstr>131-Finance Committee</vt:lpstr>
      <vt:lpstr>135-Town Accountant</vt:lpstr>
      <vt:lpstr>136-Auditing</vt:lpstr>
      <vt:lpstr>141-Board of Assessors</vt:lpstr>
      <vt:lpstr>145-Treasurer</vt:lpstr>
      <vt:lpstr>146-Tax Collector</vt:lpstr>
      <vt:lpstr>151-Legal</vt:lpstr>
      <vt:lpstr>152-Human Resource Board</vt:lpstr>
      <vt:lpstr>161-Town Clerk</vt:lpstr>
      <vt:lpstr>161.1</vt:lpstr>
      <vt:lpstr>171-ConComm</vt:lpstr>
      <vt:lpstr>175-Planning Board</vt:lpstr>
      <vt:lpstr>176-ZBA</vt:lpstr>
      <vt:lpstr>179-CPC</vt:lpstr>
      <vt:lpstr>185-Housing</vt:lpstr>
      <vt:lpstr>192-Town Offices</vt:lpstr>
      <vt:lpstr>194-Community Center</vt:lpstr>
      <vt:lpstr>196-Selectmens Maintenance</vt:lpstr>
      <vt:lpstr>198-Town Owned Property</vt:lpstr>
      <vt:lpstr>199-Comfort Station</vt:lpstr>
      <vt:lpstr>210-Police Dept</vt:lpstr>
      <vt:lpstr>220-Fire Dept</vt:lpstr>
      <vt:lpstr>230.231-Ambulance</vt:lpstr>
      <vt:lpstr>241-Building Inspections</vt:lpstr>
      <vt:lpstr>291-Emergency Mgt</vt:lpstr>
      <vt:lpstr>292-ACO</vt:lpstr>
      <vt:lpstr>295-Harbor</vt:lpstr>
      <vt:lpstr>296-Animal Inspector</vt:lpstr>
      <vt:lpstr>299-Shellfish</vt:lpstr>
      <vt:lpstr>300-Education</vt:lpstr>
      <vt:lpstr>422-Highway</vt:lpstr>
      <vt:lpstr>423-Snow &amp; Ice</vt:lpstr>
      <vt:lpstr>430-Waste Collection</vt:lpstr>
      <vt:lpstr>491-Cemetery Comm</vt:lpstr>
      <vt:lpstr>510-Board of Health</vt:lpstr>
      <vt:lpstr>541-SS</vt:lpstr>
      <vt:lpstr>610-Library</vt:lpstr>
      <vt:lpstr>630-Beach</vt:lpstr>
      <vt:lpstr>650-Parks</vt:lpstr>
      <vt:lpstr>691-Historical Comm</vt:lpstr>
      <vt:lpstr>699-Cultural Council</vt:lpstr>
      <vt:lpstr>710-ROD Principal</vt:lpstr>
      <vt:lpstr>751&amp;752-ROD Interest</vt:lpstr>
      <vt:lpstr>752-Short-Term Interest</vt:lpstr>
      <vt:lpstr>820.830 State &amp; County Assmt</vt:lpstr>
      <vt:lpstr>840-Other Assessments</vt:lpstr>
      <vt:lpstr>910-Benefits</vt:lpstr>
      <vt:lpstr>945-Property &amp; Liability Ins</vt:lpstr>
      <vt:lpstr>Summary Page</vt:lpstr>
      <vt:lpstr>County Retirement</vt:lpstr>
      <vt:lpstr>Health Ins</vt:lpstr>
      <vt:lpstr>Sheet1</vt:lpstr>
      <vt:lpstr>'114-Moderator'!Print_Area</vt:lpstr>
      <vt:lpstr>'122-Selectmen'!Print_Area</vt:lpstr>
      <vt:lpstr>'131-Finance Committee'!Print_Area</vt:lpstr>
      <vt:lpstr>'135-Town Accountant'!Print_Area</vt:lpstr>
      <vt:lpstr>'136-Auditing'!Print_Area</vt:lpstr>
      <vt:lpstr>'141-Board of Assessors'!Print_Area</vt:lpstr>
      <vt:lpstr>'145-Treasurer'!Print_Area</vt:lpstr>
      <vt:lpstr>'146-Tax Collector'!Print_Area</vt:lpstr>
      <vt:lpstr>'151-Legal'!Print_Area</vt:lpstr>
      <vt:lpstr>'152-Human Resource Board'!Print_Area</vt:lpstr>
      <vt:lpstr>'161.1'!Print_Area</vt:lpstr>
      <vt:lpstr>'161-Town Clerk'!Print_Area</vt:lpstr>
      <vt:lpstr>'171-ConComm'!Print_Area</vt:lpstr>
      <vt:lpstr>'175-Planning Board'!Print_Area</vt:lpstr>
      <vt:lpstr>'176-ZBA'!Print_Area</vt:lpstr>
      <vt:lpstr>'179-CPC'!Print_Area</vt:lpstr>
      <vt:lpstr>'185-Housing'!Print_Area</vt:lpstr>
      <vt:lpstr>'192-Town Offices'!Print_Area</vt:lpstr>
      <vt:lpstr>'194-Community Center'!Print_Area</vt:lpstr>
      <vt:lpstr>'196-Selectmens Maintenance'!Print_Area</vt:lpstr>
      <vt:lpstr>'198-Town Owned Property'!Print_Area</vt:lpstr>
      <vt:lpstr>'199-Comfort Station'!Print_Area</vt:lpstr>
      <vt:lpstr>'210-Police Dept'!Print_Area</vt:lpstr>
      <vt:lpstr>'220-Fire Dept'!Print_Area</vt:lpstr>
      <vt:lpstr>'230.231-Ambulance'!Print_Area</vt:lpstr>
      <vt:lpstr>'241-Building Inspections'!Print_Area</vt:lpstr>
      <vt:lpstr>'291-Emergency Mgt'!Print_Area</vt:lpstr>
      <vt:lpstr>'292-ACO'!Print_Area</vt:lpstr>
      <vt:lpstr>'295-Harbor'!Print_Area</vt:lpstr>
      <vt:lpstr>'296-Animal Inspector'!Print_Area</vt:lpstr>
      <vt:lpstr>'299-Shellfish'!Print_Area</vt:lpstr>
      <vt:lpstr>'300-Education'!Print_Area</vt:lpstr>
      <vt:lpstr>'422-Highway'!Print_Area</vt:lpstr>
      <vt:lpstr>'423-Snow &amp; Ice'!Print_Area</vt:lpstr>
      <vt:lpstr>'430-Waste Collection'!Print_Area</vt:lpstr>
      <vt:lpstr>'491-Cemetery Comm'!Print_Area</vt:lpstr>
      <vt:lpstr>'510-Board of Health'!Print_Area</vt:lpstr>
      <vt:lpstr>'541-SS'!Print_Area</vt:lpstr>
      <vt:lpstr>'610-Library'!Print_Area</vt:lpstr>
      <vt:lpstr>'630-Beach'!Print_Area</vt:lpstr>
      <vt:lpstr>'650-Parks'!Print_Area</vt:lpstr>
      <vt:lpstr>'691-Historical Comm'!Print_Area</vt:lpstr>
      <vt:lpstr>'699-Cultural Council'!Print_Area</vt:lpstr>
      <vt:lpstr>'710-ROD Principal'!Print_Area</vt:lpstr>
      <vt:lpstr>'751&amp;752-ROD Interest'!Print_Area</vt:lpstr>
      <vt:lpstr>'752-Short-Term Interest'!Print_Area</vt:lpstr>
      <vt:lpstr>'820.830 State &amp; County Assmt'!Print_Area</vt:lpstr>
      <vt:lpstr>'840-Other Assessments'!Print_Area</vt:lpstr>
      <vt:lpstr>'910-Benefits'!Print_Area</vt:lpstr>
      <vt:lpstr>'945-Property &amp; Liability Ins'!Print_Area</vt:lpstr>
      <vt:lpstr>'County Retirement'!Print_Area</vt:lpstr>
      <vt:lpstr>DATA!Print_Area</vt:lpstr>
      <vt:lpstr>'FY20 2.20% COLA'!Print_Area</vt:lpstr>
      <vt:lpstr>'FY20 Payroll Schedule'!Print_Area</vt:lpstr>
      <vt:lpstr>'Health Ins'!Print_Area</vt:lpstr>
      <vt:lpstr>'Sources of Available Funds'!Print_Area</vt:lpstr>
      <vt:lpstr>'Summary Page'!Print_Area</vt:lpstr>
      <vt:lpstr>'tax rate history'!Print_Area</vt:lpstr>
      <vt:lpstr>'114-Moderator'!Print_Titles</vt:lpstr>
      <vt:lpstr>'122-Selectmen'!Print_Titles</vt:lpstr>
      <vt:lpstr>'131-Finance Committee'!Print_Titles</vt:lpstr>
      <vt:lpstr>'135-Town Accountant'!Print_Titles</vt:lpstr>
      <vt:lpstr>'136-Auditing'!Print_Titles</vt:lpstr>
      <vt:lpstr>'141-Board of Assessors'!Print_Titles</vt:lpstr>
      <vt:lpstr>'145-Treasurer'!Print_Titles</vt:lpstr>
      <vt:lpstr>'146-Tax Collector'!Print_Titles</vt:lpstr>
      <vt:lpstr>'151-Legal'!Print_Titles</vt:lpstr>
      <vt:lpstr>'152-Human Resource Board'!Print_Titles</vt:lpstr>
      <vt:lpstr>'161-Town Clerk'!Print_Titles</vt:lpstr>
      <vt:lpstr>'171-ConComm'!Print_Titles</vt:lpstr>
      <vt:lpstr>'175-Planning Board'!Print_Titles</vt:lpstr>
      <vt:lpstr>'176-ZBA'!Print_Titles</vt:lpstr>
      <vt:lpstr>'179-CPC'!Print_Titles</vt:lpstr>
      <vt:lpstr>'185-Housing'!Print_Titles</vt:lpstr>
      <vt:lpstr>'192-Town Offices'!Print_Titles</vt:lpstr>
      <vt:lpstr>'194-Community Center'!Print_Titles</vt:lpstr>
      <vt:lpstr>'196-Selectmens Maintenance'!Print_Titles</vt:lpstr>
      <vt:lpstr>'198-Town Owned Property'!Print_Titles</vt:lpstr>
      <vt:lpstr>'199-Comfort Station'!Print_Titles</vt:lpstr>
      <vt:lpstr>'210-Police Dept'!Print_Titles</vt:lpstr>
      <vt:lpstr>'220-Fire Dept'!Print_Titles</vt:lpstr>
      <vt:lpstr>'230.231-Ambulance'!Print_Titles</vt:lpstr>
      <vt:lpstr>'241-Building Inspections'!Print_Titles</vt:lpstr>
      <vt:lpstr>'291-Emergency Mgt'!Print_Titles</vt:lpstr>
      <vt:lpstr>'292-ACO'!Print_Titles</vt:lpstr>
      <vt:lpstr>'295-Harbor'!Print_Titles</vt:lpstr>
      <vt:lpstr>'296-Animal Inspector'!Print_Titles</vt:lpstr>
      <vt:lpstr>'299-Shellfish'!Print_Titles</vt:lpstr>
      <vt:lpstr>'300-Education'!Print_Titles</vt:lpstr>
      <vt:lpstr>'422-Highway'!Print_Titles</vt:lpstr>
      <vt:lpstr>'423-Snow &amp; Ice'!Print_Titles</vt:lpstr>
      <vt:lpstr>'430-Waste Collection'!Print_Titles</vt:lpstr>
      <vt:lpstr>'491-Cemetery Comm'!Print_Titles</vt:lpstr>
      <vt:lpstr>'510-Board of Health'!Print_Titles</vt:lpstr>
      <vt:lpstr>'541-SS'!Print_Titles</vt:lpstr>
      <vt:lpstr>'610-Library'!Print_Titles</vt:lpstr>
      <vt:lpstr>'630-Beach'!Print_Titles</vt:lpstr>
      <vt:lpstr>'650-Parks'!Print_Titles</vt:lpstr>
      <vt:lpstr>'691-Historical Comm'!Print_Titles</vt:lpstr>
      <vt:lpstr>'699-Cultural Council'!Print_Titles</vt:lpstr>
      <vt:lpstr>'710-ROD Principal'!Print_Titles</vt:lpstr>
      <vt:lpstr>'751&amp;752-ROD Interest'!Print_Titles</vt:lpstr>
      <vt:lpstr>'752-Short-Term Interest'!Print_Titles</vt:lpstr>
      <vt:lpstr>'820.830 State &amp; County Assmt'!Print_Titles</vt:lpstr>
      <vt:lpstr>'840-Other Assessments'!Print_Titles</vt:lpstr>
      <vt:lpstr>'910-Benefits'!Print_Titles</vt:lpstr>
      <vt:lpstr>'945-Property &amp; Liability Ins'!Print_Titles</vt:lpstr>
      <vt:lpstr>'FY20 Payroll Schedule'!Print_Titles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Network Administrator</dc:creator>
  <cp:lastModifiedBy>ContentDeveloperOne</cp:lastModifiedBy>
  <cp:lastPrinted>2019-03-05T16:52:18Z</cp:lastPrinted>
  <dcterms:created xsi:type="dcterms:W3CDTF">2011-08-19T14:00:23Z</dcterms:created>
  <dcterms:modified xsi:type="dcterms:W3CDTF">2019-07-29T14:30:58Z</dcterms:modified>
</cp:coreProperties>
</file>