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405" windowWidth="14535" windowHeight="11460" activeTab="7"/>
  </bookViews>
  <sheets>
    <sheet name="1-Summary Budget" sheetId="1" r:id="rId1"/>
    <sheet name="Sheet1" sheetId="2" state="hidden" r:id="rId2"/>
    <sheet name="2-Rate Development" sheetId="3" state="hidden" r:id="rId3"/>
    <sheet name="2-Cost Development" sheetId="4" r:id="rId4"/>
    <sheet name="3-Assessments, LDO Contracts" sheetId="5" r:id="rId5"/>
    <sheet name="4-Payroll - Expenses" sheetId="6" state="hidden" r:id="rId6"/>
    <sheet name="Fixed Cost Anaysis" sheetId="7" state="hidden" r:id="rId7"/>
    <sheet name="Notes" sheetId="8" r:id="rId8"/>
    <sheet name="Sheet2" sheetId="9" state="hidden" r:id="rId9"/>
  </sheets>
  <externalReferences>
    <externalReference r:id="rId12"/>
  </externalReferences>
  <definedNames>
    <definedName name="_xlnm.Print_Area" localSheetId="0">'1-Summary Budget'!$U$2:$AE$50</definedName>
    <definedName name="_xlnm.Print_Area" localSheetId="3">'2-Cost Development'!$F$1:$T$28</definedName>
    <definedName name="_xlnm.Print_Area" localSheetId="2">'2-Rate Development'!$A$1:$I$26</definedName>
    <definedName name="_xlnm.Print_Area" localSheetId="4">'3-Assessments, LDO Contracts'!$A$1:$S$21</definedName>
    <definedName name="_xlnm.Print_Area" localSheetId="5">'4-Payroll - Expenses'!$A$1:$BL$31</definedName>
    <definedName name="_xlnm.Print_Area" localSheetId="6">'Fixed Cost Anaysis'!$A$1:$K$29</definedName>
    <definedName name="_xlnm.Print_Area" localSheetId="7">'Notes'!$A$1:$P$27</definedName>
    <definedName name="_xlnm.Print_Titles" localSheetId="5">'4-Payroll - Expenses'!$A:$A,'4-Payroll - Expenses'!$1:$5</definedName>
  </definedNames>
  <calcPr fullCalcOnLoad="1"/>
</workbook>
</file>

<file path=xl/sharedStrings.xml><?xml version="1.0" encoding="utf-8"?>
<sst xmlns="http://schemas.openxmlformats.org/spreadsheetml/2006/main" count="397" uniqueCount="259">
  <si>
    <t>Don Casey</t>
  </si>
  <si>
    <t>Wages</t>
  </si>
  <si>
    <t>Taxes</t>
  </si>
  <si>
    <t>District Overhead</t>
  </si>
  <si>
    <t>Transfer Station</t>
  </si>
  <si>
    <t>Class</t>
  </si>
  <si>
    <t>Aquinnah LDO</t>
  </si>
  <si>
    <t>Chilmark LDO</t>
  </si>
  <si>
    <t>Edgartown LDO</t>
  </si>
  <si>
    <t xml:space="preserve"> West Tisbury LDO</t>
  </si>
  <si>
    <t>Charlie Noonan</t>
  </si>
  <si>
    <t>Group Health</t>
  </si>
  <si>
    <t>Retirement</t>
  </si>
  <si>
    <t>Worker's Comp</t>
  </si>
  <si>
    <t>Worker's Comp Rate * Mod .83</t>
  </si>
  <si>
    <t>Employee Portion of Health</t>
  </si>
  <si>
    <t>Employer Portion of Health</t>
  </si>
  <si>
    <t>Total Health</t>
  </si>
  <si>
    <t>Overtime</t>
  </si>
  <si>
    <t>Gross Payrol</t>
  </si>
  <si>
    <t>Ben Viera</t>
  </si>
  <si>
    <t>Fuel</t>
  </si>
  <si>
    <t>Fixed Overhead:</t>
  </si>
  <si>
    <t>Fixed in range:</t>
  </si>
  <si>
    <t>Variable Costs:</t>
  </si>
  <si>
    <t>Loader</t>
  </si>
  <si>
    <t>Rolloff</t>
  </si>
  <si>
    <t>Insurance</t>
  </si>
  <si>
    <t>Utilities</t>
  </si>
  <si>
    <t>Monitoring</t>
  </si>
  <si>
    <t>Landfill</t>
  </si>
  <si>
    <t>Wages, Taxes &amp; Benefits</t>
  </si>
  <si>
    <t>Combined</t>
  </si>
  <si>
    <t>Supplies &amp; Maintenance</t>
  </si>
  <si>
    <t>Tonnage</t>
  </si>
  <si>
    <t>Surplus</t>
  </si>
  <si>
    <t>Surplus:</t>
  </si>
  <si>
    <t>Rate Summary:</t>
  </si>
  <si>
    <t>Longevity</t>
  </si>
  <si>
    <t>Transportation</t>
  </si>
  <si>
    <t>BFI Fees-Edgartown Waste</t>
  </si>
  <si>
    <t>Total Costs</t>
  </si>
  <si>
    <t>Admin</t>
  </si>
  <si>
    <t>Debt Service</t>
  </si>
  <si>
    <t>HHW</t>
  </si>
  <si>
    <t>Assessments</t>
  </si>
  <si>
    <t>Interest</t>
  </si>
  <si>
    <t>Debt Payment</t>
  </si>
  <si>
    <t>Total Revenue</t>
  </si>
  <si>
    <t>Revenue over Expenditures</t>
  </si>
  <si>
    <t>Total Expenditures</t>
  </si>
  <si>
    <t>Returned Checks</t>
  </si>
  <si>
    <t>Aquinnah</t>
  </si>
  <si>
    <t>Chilmark</t>
  </si>
  <si>
    <t>Edgartown</t>
  </si>
  <si>
    <t>West Tisbury</t>
  </si>
  <si>
    <t>Total</t>
  </si>
  <si>
    <t>Advertising</t>
  </si>
  <si>
    <t>Bank Fees</t>
  </si>
  <si>
    <t>Postage</t>
  </si>
  <si>
    <t>Assumptions</t>
  </si>
  <si>
    <t>SSA</t>
  </si>
  <si>
    <t>Acceptable Rate</t>
  </si>
  <si>
    <t>Administration</t>
  </si>
  <si>
    <t>x</t>
  </si>
  <si>
    <t>o</t>
  </si>
  <si>
    <t>Tipping Fees</t>
  </si>
  <si>
    <t>Assessments:</t>
  </si>
  <si>
    <t>LDO Contracts:</t>
  </si>
  <si>
    <t>Fixed Costs per Ton</t>
  </si>
  <si>
    <t xml:space="preserve">Analysis of Fixed Costs </t>
  </si>
  <si>
    <t>Transfer Station &amp; District Landfill</t>
  </si>
  <si>
    <t>Fixed Cost per ton (Fixed Cost /Tons)</t>
  </si>
  <si>
    <t xml:space="preserve">Combined Fixed Costs </t>
  </si>
  <si>
    <t>Combined Fixed Cost per ton (Fixed Cost /Tons)</t>
  </si>
  <si>
    <t>Budget Fixed Costs 2003</t>
  </si>
  <si>
    <t>Budget Tons 2003</t>
  </si>
  <si>
    <t>Actual Fixed Costs (pre-audit) 2003</t>
  </si>
  <si>
    <t>Actual Tons 2003</t>
  </si>
  <si>
    <t>Budget Fixed Costs 2004</t>
  </si>
  <si>
    <t>Budget Tons 2004</t>
  </si>
  <si>
    <t xml:space="preserve">            Fixed Costs/Ton under budget 2003</t>
  </si>
  <si>
    <t>Excess Fixed Costs</t>
  </si>
  <si>
    <t>Excess Tonnage</t>
  </si>
  <si>
    <t>Change in Fixed Costs (Budget 2005 vs Actual 2003)</t>
  </si>
  <si>
    <t>Change in Fixed Costs (Budget 2005 vs 2004)</t>
  </si>
  <si>
    <t>Actual 2003</t>
  </si>
  <si>
    <t>Budget 2003</t>
  </si>
  <si>
    <t>Comparison of Fixed Costs - Actual versus Budget</t>
  </si>
  <si>
    <t>Budget 2004</t>
  </si>
  <si>
    <t>Expected Variance</t>
  </si>
  <si>
    <r>
      <t>Variance from budget -</t>
    </r>
    <r>
      <rPr>
        <sz val="8"/>
        <rFont val="Arial"/>
        <family val="2"/>
      </rPr>
      <t xml:space="preserve"> See Actual vs Budget Fied Cost Rate</t>
    </r>
  </si>
  <si>
    <t>Increase in Budgeted Fixed Costs</t>
  </si>
  <si>
    <t>Increase in Budgeted Fixed Costs %</t>
  </si>
  <si>
    <t>Rate Difference from Budget Rate</t>
  </si>
  <si>
    <t>Tab 4</t>
  </si>
  <si>
    <t>Tab 2</t>
  </si>
  <si>
    <t>Tab 5</t>
  </si>
  <si>
    <t>Tab 3</t>
  </si>
  <si>
    <t>Office</t>
  </si>
  <si>
    <t>Tipping Fee MSW</t>
  </si>
  <si>
    <t>Tipping Fee C&amp;D</t>
  </si>
  <si>
    <t>Don Hatch</t>
  </si>
  <si>
    <t>MSW</t>
  </si>
  <si>
    <t>C&amp;D</t>
  </si>
  <si>
    <t>Budget Fixed Costs 2007</t>
  </si>
  <si>
    <t>Budget Tons 2007</t>
  </si>
  <si>
    <t>Total  Expenses</t>
  </si>
  <si>
    <t>Budget 2007</t>
  </si>
  <si>
    <t>CRT</t>
  </si>
  <si>
    <t xml:space="preserve">  </t>
  </si>
  <si>
    <t>M.V.R.D.</t>
  </si>
  <si>
    <t>Budget</t>
  </si>
  <si>
    <t>Total Annual Tons</t>
  </si>
  <si>
    <t>District LDO'S</t>
  </si>
  <si>
    <t>Per Ton</t>
  </si>
  <si>
    <t>LDO Transportation</t>
  </si>
  <si>
    <t>Est. Tons</t>
  </si>
  <si>
    <t>Diff.</t>
  </si>
  <si>
    <t xml:space="preserve"> Assessment</t>
  </si>
  <si>
    <t>Difference</t>
  </si>
  <si>
    <t>Total Trans.</t>
  </si>
  <si>
    <t>Tipping Costs</t>
  </si>
  <si>
    <t>Cost per Ton</t>
  </si>
  <si>
    <t>Trash</t>
  </si>
  <si>
    <t>Single Stream</t>
  </si>
  <si>
    <t>Tipping Fee</t>
  </si>
  <si>
    <t>Actual Cost per ton 1Qtr 2004</t>
  </si>
  <si>
    <t xml:space="preserve"> Estimated Increase in CPI </t>
  </si>
  <si>
    <t>1Qtr 2003</t>
  </si>
  <si>
    <t>Change of Law-mandated</t>
  </si>
  <si>
    <t>Steamship</t>
  </si>
  <si>
    <t>Cost per Trip-estimated</t>
  </si>
  <si>
    <t>Tons per trip</t>
  </si>
  <si>
    <t>Fiscal 2003</t>
  </si>
  <si>
    <t>Total Cost per Ton</t>
  </si>
  <si>
    <t>1Qtr 2004</t>
  </si>
  <si>
    <t>Increase over 2003</t>
  </si>
  <si>
    <t>Disposal</t>
  </si>
  <si>
    <t>Tons</t>
  </si>
  <si>
    <t>Price per ton</t>
  </si>
  <si>
    <t>Total Cost</t>
  </si>
  <si>
    <t>Brush</t>
  </si>
  <si>
    <t>Semass</t>
  </si>
  <si>
    <t>Avg.</t>
  </si>
  <si>
    <t>Ryan Rose</t>
  </si>
  <si>
    <t>*</t>
  </si>
  <si>
    <t>Bruno's</t>
  </si>
  <si>
    <t>Anticipation note</t>
  </si>
  <si>
    <t>Metal</t>
  </si>
  <si>
    <t>Misc.</t>
  </si>
  <si>
    <t xml:space="preserve">Accounting Services </t>
  </si>
  <si>
    <t>Fees Collected / Stickers</t>
  </si>
  <si>
    <t>Jamie Ann</t>
  </si>
  <si>
    <t>Seasonal</t>
  </si>
  <si>
    <t>Per Month</t>
  </si>
  <si>
    <t>Tipping fee Recycle</t>
  </si>
  <si>
    <t>X</t>
  </si>
  <si>
    <t>Recycle T&amp;D</t>
  </si>
  <si>
    <t>Carrolls</t>
  </si>
  <si>
    <t xml:space="preserve">Transport </t>
  </si>
  <si>
    <t xml:space="preserve">* </t>
  </si>
  <si>
    <t>Recycle Disposal</t>
  </si>
  <si>
    <t>Grand</t>
  </si>
  <si>
    <t xml:space="preserve">Engineering </t>
  </si>
  <si>
    <t xml:space="preserve">Stickers </t>
  </si>
  <si>
    <t>Recycle</t>
  </si>
  <si>
    <r>
      <t xml:space="preserve">    Total LDO Contract Fee plus </t>
    </r>
    <r>
      <rPr>
        <b/>
        <i/>
        <u val="single"/>
        <sz val="10"/>
        <rFont val="Arial"/>
        <family val="2"/>
      </rPr>
      <t>Transportation fee</t>
    </r>
  </si>
  <si>
    <t>.</t>
  </si>
  <si>
    <t>Workers comp.     Estimate of 3%</t>
  </si>
  <si>
    <t>Seasonal  up island</t>
  </si>
  <si>
    <t>Seasonal  Edga</t>
  </si>
  <si>
    <t xml:space="preserve">Hunter Thomas       </t>
  </si>
  <si>
    <t>SSA Increase       Estimated 3%</t>
  </si>
  <si>
    <t>Kristen Norman</t>
  </si>
  <si>
    <t>Matresses</t>
  </si>
  <si>
    <t>Alan Debettoncourt</t>
  </si>
  <si>
    <t>Food Waste Transport</t>
  </si>
  <si>
    <t>Recycling  &amp;  Food waste</t>
  </si>
  <si>
    <t>Transportation contracts (Carroll's &amp; Bruno's) renewal @ 3% increase as per contract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</si>
  <si>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</si>
  <si>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MVRD Transportation </t>
  </si>
  <si>
    <t>Professional Fees (Audit)</t>
  </si>
  <si>
    <t>Total Trans Recycle</t>
  </si>
  <si>
    <t>HHW Set up Fees</t>
  </si>
  <si>
    <t>Total SSA</t>
  </si>
  <si>
    <t>Total Bruno's</t>
  </si>
  <si>
    <t>1000 tons @ $90 per ton</t>
  </si>
  <si>
    <t>FY 24</t>
  </si>
  <si>
    <t>James Clark</t>
  </si>
  <si>
    <t>Mary Donlavey</t>
  </si>
  <si>
    <t>Steve Dourian</t>
  </si>
  <si>
    <t>ABC</t>
  </si>
  <si>
    <t>MVRD W Tisbury LDO</t>
  </si>
  <si>
    <t>Bruno's / ABC</t>
  </si>
  <si>
    <t>(1)Resudentail Drop off area</t>
  </si>
  <si>
    <t xml:space="preserve"> (2)Resudential Drop off area</t>
  </si>
  <si>
    <t>FY 25</t>
  </si>
  <si>
    <t>Dave Smilie</t>
  </si>
  <si>
    <t>John Casey/Leona</t>
  </si>
  <si>
    <t>NOTES TO FY25 BUDGET</t>
  </si>
  <si>
    <t xml:space="preserve">Health Insurance Increase  Estimate of 5% </t>
  </si>
  <si>
    <t>Disposal Semas         $6 prior year short fall plus 5%</t>
  </si>
  <si>
    <t>edg+wt</t>
  </si>
  <si>
    <t>Fy 25</t>
  </si>
  <si>
    <t>LDO Contract</t>
  </si>
  <si>
    <t>Split year average price</t>
  </si>
  <si>
    <t>Payroll increase 4% plus step if not at 7 already</t>
  </si>
  <si>
    <t>Excavator Tracks</t>
  </si>
  <si>
    <t>T&amp;D Per ton</t>
  </si>
  <si>
    <t>Stickers sales</t>
  </si>
  <si>
    <t xml:space="preserve">EDG </t>
  </si>
  <si>
    <t>One time fee</t>
  </si>
  <si>
    <t xml:space="preserve">Non Member </t>
  </si>
  <si>
    <t>member</t>
  </si>
  <si>
    <t>W Tisbury</t>
  </si>
  <si>
    <t>Grand total</t>
  </si>
  <si>
    <t>EDG</t>
  </si>
  <si>
    <t>TV's</t>
  </si>
  <si>
    <t>Freon</t>
  </si>
  <si>
    <t>Tires</t>
  </si>
  <si>
    <t>Mattresses</t>
  </si>
  <si>
    <t>Total Edg</t>
  </si>
  <si>
    <t>Disposal cost</t>
  </si>
  <si>
    <t xml:space="preserve">Commercial </t>
  </si>
  <si>
    <t>Recycle income</t>
  </si>
  <si>
    <t>Memeber</t>
  </si>
  <si>
    <t>Grand total less disposal cost</t>
  </si>
  <si>
    <t>Batteries</t>
  </si>
  <si>
    <t>Metal by weight</t>
  </si>
  <si>
    <t>Misc metal</t>
  </si>
  <si>
    <t>Bulky</t>
  </si>
  <si>
    <t>FY 23</t>
  </si>
  <si>
    <t>Coupon Books</t>
  </si>
  <si>
    <t>Sheet rock</t>
  </si>
  <si>
    <t>SWT</t>
  </si>
  <si>
    <t xml:space="preserve">C&amp;D </t>
  </si>
  <si>
    <t>Scale</t>
  </si>
  <si>
    <t>1A</t>
  </si>
  <si>
    <t>M V Rubbish</t>
  </si>
  <si>
    <t>1B</t>
  </si>
  <si>
    <t>1C</t>
  </si>
  <si>
    <t>Harvey's</t>
  </si>
  <si>
    <t>Commercial recycling</t>
  </si>
  <si>
    <t>Revenue</t>
  </si>
  <si>
    <t>Covanta</t>
  </si>
  <si>
    <t>J.R Vinagro</t>
  </si>
  <si>
    <t>Zero Waste</t>
  </si>
  <si>
    <t>(CPI)</t>
  </si>
  <si>
    <t>Debt Note interest rate of 5.030 FY24  Total interest of $59,371.40</t>
  </si>
  <si>
    <t>TBA</t>
  </si>
  <si>
    <t xml:space="preserve">Transfer Station </t>
  </si>
  <si>
    <t>Jamie Greene</t>
  </si>
  <si>
    <t xml:space="preserve">MSW &amp; Constrution scale rate increase to $230.00 &amp; $ 250.00per ton </t>
  </si>
  <si>
    <t>Compost trasnportation (included in recylcing sticker sales) $25,000</t>
  </si>
  <si>
    <t>APPROVED 10/20/2023</t>
  </si>
  <si>
    <t>Transportation for District towns increase $5 per ton</t>
  </si>
  <si>
    <t>Approved 10/19/23</t>
  </si>
  <si>
    <t>Recycle sticker cost up $5 to District towns(40), $10 non District towns ($60) and $0 increase  for senior citizens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</si>
</sst>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-yy"/>
    <numFmt numFmtId="173" formatCode="#,##0.000"/>
    <numFmt numFmtId="174" formatCode="#,##0.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_);_(* \(#,##0.0\);_(* &quot;-&quot;??_);_(@_)"/>
    <numFmt numFmtId="178" formatCode="_(* #,##0_);_(* \(#,##0\);_(* &quot;-&quot;??_);_(@_)"/>
    <numFmt numFmtId="179" formatCode="0.0%"/>
    <numFmt numFmtId="180" formatCode="&quot;$&quot;#,##0"/>
    <numFmt numFmtId="181" formatCode="&quot;$&quot;#,##0.00"/>
  </numFmts>
  <fonts count="79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i/>
      <sz val="10"/>
      <color indexed="10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u val="single"/>
      <sz val="10"/>
      <color indexed="17"/>
      <name val="Arial"/>
      <family val="2"/>
    </font>
    <font>
      <b/>
      <sz val="10"/>
      <color indexed="17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i/>
      <sz val="10"/>
      <color rgb="FFFF0000"/>
      <name val="Arial"/>
      <family val="2"/>
    </font>
    <font>
      <b/>
      <i/>
      <sz val="10"/>
      <color rgb="FF00B050"/>
      <name val="Arial"/>
      <family val="2"/>
    </font>
    <font>
      <b/>
      <i/>
      <u val="single"/>
      <sz val="10"/>
      <color rgb="FF00B050"/>
      <name val="Arial"/>
      <family val="2"/>
    </font>
    <font>
      <b/>
      <sz val="10"/>
      <color rgb="FF00B05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9" fontId="1" fillId="0" borderId="0" xfId="0" applyNumberFormat="1" applyFont="1" applyAlignment="1">
      <alignment/>
    </xf>
    <xf numFmtId="39" fontId="1" fillId="0" borderId="0" xfId="0" applyNumberFormat="1" applyFont="1" applyAlignment="1">
      <alignment horizontal="center"/>
    </xf>
    <xf numFmtId="39" fontId="1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9" fontId="6" fillId="0" borderId="0" xfId="57" applyFont="1" applyAlignment="1">
      <alignment/>
    </xf>
    <xf numFmtId="9" fontId="6" fillId="0" borderId="11" xfId="57" applyFont="1" applyBorder="1" applyAlignment="1">
      <alignment/>
    </xf>
    <xf numFmtId="4" fontId="3" fillId="0" borderId="13" xfId="0" applyNumberFormat="1" applyFont="1" applyBorder="1" applyAlignment="1">
      <alignment/>
    </xf>
    <xf numFmtId="0" fontId="0" fillId="0" borderId="0" xfId="0" applyAlignment="1">
      <alignment horizontal="right"/>
    </xf>
    <xf numFmtId="3" fontId="6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 vertical="center" wrapText="1"/>
    </xf>
    <xf numFmtId="4" fontId="7" fillId="0" borderId="11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43" fontId="1" fillId="0" borderId="0" xfId="42" applyNumberFormat="1" applyFont="1" applyAlignment="1">
      <alignment/>
    </xf>
    <xf numFmtId="0" fontId="4" fillId="0" borderId="0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9" fontId="3" fillId="0" borderId="0" xfId="57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9" fontId="5" fillId="0" borderId="0" xfId="57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39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39" fontId="2" fillId="0" borderId="0" xfId="0" applyNumberFormat="1" applyFont="1" applyAlignment="1">
      <alignment horizontal="center"/>
    </xf>
    <xf numFmtId="44" fontId="0" fillId="0" borderId="0" xfId="44" applyFont="1" applyAlignment="1">
      <alignment/>
    </xf>
    <xf numFmtId="0" fontId="0" fillId="0" borderId="14" xfId="0" applyBorder="1" applyAlignment="1">
      <alignment/>
    </xf>
    <xf numFmtId="9" fontId="6" fillId="0" borderId="0" xfId="57" applyFont="1" applyAlignment="1">
      <alignment horizontal="center"/>
    </xf>
    <xf numFmtId="9" fontId="6" fillId="0" borderId="0" xfId="57" applyFont="1" applyBorder="1" applyAlignment="1">
      <alignment horizontal="center"/>
    </xf>
    <xf numFmtId="9" fontId="5" fillId="0" borderId="0" xfId="57" applyFont="1" applyAlignment="1">
      <alignment horizontal="center"/>
    </xf>
    <xf numFmtId="9" fontId="3" fillId="0" borderId="0" xfId="57" applyFont="1" applyAlignment="1">
      <alignment horizontal="center"/>
    </xf>
    <xf numFmtId="4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9" fontId="6" fillId="0" borderId="11" xfId="57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center"/>
    </xf>
    <xf numFmtId="3" fontId="3" fillId="0" borderId="12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3" fillId="0" borderId="13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4" fontId="0" fillId="0" borderId="11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3" fontId="0" fillId="0" borderId="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17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/>
    </xf>
    <xf numFmtId="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3" fillId="0" borderId="0" xfId="0" applyNumberFormat="1" applyFont="1" applyAlignment="1">
      <alignment vertical="center"/>
    </xf>
    <xf numFmtId="9" fontId="6" fillId="0" borderId="0" xfId="57" applyFont="1" applyAlignment="1">
      <alignment horizontal="center" vertical="center"/>
    </xf>
    <xf numFmtId="9" fontId="6" fillId="0" borderId="0" xfId="57" applyFont="1" applyAlignment="1">
      <alignment vertical="center"/>
    </xf>
    <xf numFmtId="0" fontId="0" fillId="0" borderId="0" xfId="0" applyAlignment="1">
      <alignment vertical="center"/>
    </xf>
    <xf numFmtId="4" fontId="4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78" fontId="1" fillId="0" borderId="0" xfId="42" applyNumberFormat="1" applyFont="1" applyAlignment="1">
      <alignment horizontal="center"/>
    </xf>
    <xf numFmtId="178" fontId="1" fillId="0" borderId="10" xfId="42" applyNumberFormat="1" applyFont="1" applyBorder="1" applyAlignment="1">
      <alignment horizontal="center" vertical="center" wrapText="1"/>
    </xf>
    <xf numFmtId="178" fontId="1" fillId="0" borderId="0" xfId="42" applyNumberFormat="1" applyFont="1" applyBorder="1" applyAlignment="1">
      <alignment horizontal="center" vertical="center" wrapText="1"/>
    </xf>
    <xf numFmtId="178" fontId="1" fillId="0" borderId="0" xfId="42" applyNumberFormat="1" applyFont="1" applyAlignment="1">
      <alignment/>
    </xf>
    <xf numFmtId="0" fontId="1" fillId="0" borderId="0" xfId="0" applyFont="1" applyAlignment="1">
      <alignment horizontal="center" vertical="center"/>
    </xf>
    <xf numFmtId="3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7" fillId="0" borderId="0" xfId="0" applyFont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/>
    </xf>
    <xf numFmtId="9" fontId="6" fillId="0" borderId="0" xfId="57" applyFont="1" applyFill="1" applyAlignment="1">
      <alignment horizontal="center"/>
    </xf>
    <xf numFmtId="3" fontId="8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Alignment="1">
      <alignment horizontal="center" vertical="center"/>
    </xf>
    <xf numFmtId="180" fontId="3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44" fontId="0" fillId="0" borderId="19" xfId="0" applyNumberFormat="1" applyBorder="1" applyAlignment="1">
      <alignment/>
    </xf>
    <xf numFmtId="4" fontId="0" fillId="0" borderId="14" xfId="0" applyNumberFormat="1" applyBorder="1" applyAlignment="1">
      <alignment/>
    </xf>
    <xf numFmtId="181" fontId="11" fillId="0" borderId="0" xfId="0" applyNumberFormat="1" applyFon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14" xfId="0" applyNumberFormat="1" applyBorder="1" applyAlignment="1">
      <alignment/>
    </xf>
    <xf numFmtId="44" fontId="0" fillId="0" borderId="0" xfId="0" applyNumberFormat="1" applyBorder="1" applyAlignment="1">
      <alignment/>
    </xf>
    <xf numFmtId="181" fontId="10" fillId="0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181" fontId="12" fillId="0" borderId="0" xfId="0" applyNumberFormat="1" applyFont="1" applyBorder="1" applyAlignment="1">
      <alignment/>
    </xf>
    <xf numFmtId="180" fontId="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3" fontId="3" fillId="33" borderId="0" xfId="0" applyNumberFormat="1" applyFont="1" applyFill="1" applyAlignment="1">
      <alignment horizontal="right"/>
    </xf>
    <xf numFmtId="3" fontId="3" fillId="33" borderId="0" xfId="0" applyNumberFormat="1" applyFont="1" applyFill="1" applyAlignment="1">
      <alignment horizontal="right" vertical="center"/>
    </xf>
    <xf numFmtId="0" fontId="0" fillId="0" borderId="0" xfId="0" applyBorder="1" applyAlignment="1">
      <alignment horizontal="left"/>
    </xf>
    <xf numFmtId="0" fontId="1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44" fontId="4" fillId="0" borderId="19" xfId="0" applyNumberFormat="1" applyFont="1" applyBorder="1" applyAlignment="1">
      <alignment/>
    </xf>
    <xf numFmtId="44" fontId="4" fillId="0" borderId="2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left"/>
    </xf>
    <xf numFmtId="181" fontId="4" fillId="0" borderId="20" xfId="0" applyNumberFormat="1" applyFont="1" applyBorder="1" applyAlignment="1">
      <alignment/>
    </xf>
    <xf numFmtId="44" fontId="4" fillId="0" borderId="0" xfId="44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44" fontId="4" fillId="0" borderId="14" xfId="44" applyFont="1" applyBorder="1" applyAlignment="1">
      <alignment/>
    </xf>
    <xf numFmtId="179" fontId="4" fillId="0" borderId="0" xfId="57" applyNumberFormat="1" applyFont="1" applyAlignment="1">
      <alignment horizontal="center"/>
    </xf>
    <xf numFmtId="44" fontId="4" fillId="0" borderId="11" xfId="44" applyFont="1" applyBorder="1" applyAlignment="1">
      <alignment/>
    </xf>
    <xf numFmtId="0" fontId="7" fillId="0" borderId="14" xfId="0" applyFont="1" applyBorder="1" applyAlignment="1">
      <alignment/>
    </xf>
    <xf numFmtId="3" fontId="3" fillId="0" borderId="0" xfId="0" applyNumberFormat="1" applyFont="1" applyBorder="1" applyAlignment="1">
      <alignment/>
    </xf>
    <xf numFmtId="180" fontId="7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4" fontId="3" fillId="0" borderId="0" xfId="0" applyNumberFormat="1" applyFont="1" applyAlignment="1">
      <alignment horizontal="center" vertical="center" wrapText="1"/>
    </xf>
    <xf numFmtId="172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44" fontId="7" fillId="0" borderId="0" xfId="44" applyFont="1" applyAlignment="1">
      <alignment/>
    </xf>
    <xf numFmtId="10" fontId="3" fillId="0" borderId="0" xfId="0" applyNumberFormat="1" applyFont="1" applyAlignment="1">
      <alignment horizontal="center"/>
    </xf>
    <xf numFmtId="43" fontId="3" fillId="0" borderId="0" xfId="42" applyFont="1" applyAlignment="1">
      <alignment/>
    </xf>
    <xf numFmtId="172" fontId="3" fillId="0" borderId="0" xfId="0" applyNumberFormat="1" applyFont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43" fontId="3" fillId="0" borderId="14" xfId="42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4" fontId="3" fillId="0" borderId="0" xfId="44" applyFont="1" applyBorder="1" applyAlignment="1">
      <alignment horizontal="right"/>
    </xf>
    <xf numFmtId="3" fontId="3" fillId="0" borderId="14" xfId="0" applyNumberFormat="1" applyFont="1" applyBorder="1" applyAlignment="1">
      <alignment horizontal="center"/>
    </xf>
    <xf numFmtId="44" fontId="3" fillId="0" borderId="14" xfId="44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180" fontId="3" fillId="0" borderId="11" xfId="0" applyNumberFormat="1" applyFont="1" applyBorder="1" applyAlignment="1">
      <alignment/>
    </xf>
    <xf numFmtId="44" fontId="3" fillId="0" borderId="0" xfId="44" applyFont="1" applyAlignment="1">
      <alignment horizontal="center"/>
    </xf>
    <xf numFmtId="0" fontId="15" fillId="0" borderId="0" xfId="0" applyFont="1" applyAlignment="1">
      <alignment/>
    </xf>
    <xf numFmtId="181" fontId="16" fillId="0" borderId="18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3" fontId="3" fillId="34" borderId="0" xfId="0" applyNumberFormat="1" applyFont="1" applyFill="1" applyAlignment="1">
      <alignment/>
    </xf>
    <xf numFmtId="3" fontId="3" fillId="34" borderId="0" xfId="0" applyNumberFormat="1" applyFont="1" applyFill="1" applyAlignment="1">
      <alignment horizontal="right"/>
    </xf>
    <xf numFmtId="0" fontId="16" fillId="0" borderId="0" xfId="0" applyFont="1" applyAlignment="1">
      <alignment/>
    </xf>
    <xf numFmtId="3" fontId="3" fillId="34" borderId="0" xfId="0" applyNumberFormat="1" applyFont="1" applyFill="1" applyAlignment="1">
      <alignment horizontal="right" vertical="center"/>
    </xf>
    <xf numFmtId="0" fontId="1" fillId="34" borderId="0" xfId="0" applyFont="1" applyFill="1" applyBorder="1" applyAlignment="1">
      <alignment horizontal="center" vertical="center" wrapText="1"/>
    </xf>
    <xf numFmtId="181" fontId="1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181" fontId="3" fillId="0" borderId="14" xfId="0" applyNumberFormat="1" applyFont="1" applyBorder="1" applyAlignment="1">
      <alignment/>
    </xf>
    <xf numFmtId="4" fontId="1" fillId="34" borderId="0" xfId="0" applyNumberFormat="1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/>
    </xf>
    <xf numFmtId="181" fontId="0" fillId="0" borderId="21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170" fontId="3" fillId="0" borderId="0" xfId="0" applyNumberFormat="1" applyFont="1" applyAlignment="1">
      <alignment/>
    </xf>
    <xf numFmtId="0" fontId="17" fillId="0" borderId="14" xfId="0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6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6" fontId="0" fillId="0" borderId="0" xfId="0" applyNumberFormat="1" applyFont="1" applyAlignment="1">
      <alignment/>
    </xf>
    <xf numFmtId="0" fontId="16" fillId="0" borderId="0" xfId="0" applyFont="1" applyAlignment="1">
      <alignment/>
    </xf>
    <xf numFmtId="181" fontId="0" fillId="34" borderId="21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0" fontId="11" fillId="0" borderId="0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  <xf numFmtId="6" fontId="4" fillId="0" borderId="0" xfId="0" applyNumberFormat="1" applyFont="1" applyAlignment="1">
      <alignment/>
    </xf>
    <xf numFmtId="0" fontId="1" fillId="34" borderId="0" xfId="0" applyFont="1" applyFill="1" applyAlignment="1">
      <alignment/>
    </xf>
    <xf numFmtId="39" fontId="1" fillId="34" borderId="0" xfId="0" applyNumberFormat="1" applyFont="1" applyFill="1" applyAlignment="1">
      <alignment/>
    </xf>
    <xf numFmtId="176" fontId="3" fillId="0" borderId="0" xfId="0" applyNumberFormat="1" applyFont="1" applyAlignment="1">
      <alignment/>
    </xf>
    <xf numFmtId="181" fontId="7" fillId="0" borderId="0" xfId="0" applyNumberFormat="1" applyFont="1" applyAlignment="1">
      <alignment/>
    </xf>
    <xf numFmtId="3" fontId="3" fillId="34" borderId="0" xfId="0" applyNumberFormat="1" applyFont="1" applyFill="1" applyBorder="1" applyAlignment="1">
      <alignment horizontal="right"/>
    </xf>
    <xf numFmtId="178" fontId="1" fillId="34" borderId="0" xfId="42" applyNumberFormat="1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3" fontId="3" fillId="34" borderId="12" xfId="0" applyNumberFormat="1" applyFont="1" applyFill="1" applyBorder="1" applyAlignment="1">
      <alignment horizontal="right"/>
    </xf>
    <xf numFmtId="44" fontId="3" fillId="34" borderId="0" xfId="44" applyFont="1" applyFill="1" applyBorder="1" applyAlignment="1">
      <alignment horizontal="right"/>
    </xf>
    <xf numFmtId="180" fontId="7" fillId="34" borderId="0" xfId="0" applyNumberFormat="1" applyFont="1" applyFill="1" applyAlignment="1">
      <alignment/>
    </xf>
    <xf numFmtId="44" fontId="4" fillId="0" borderId="0" xfId="0" applyNumberFormat="1" applyFont="1" applyBorder="1" applyAlignment="1">
      <alignment/>
    </xf>
    <xf numFmtId="181" fontId="16" fillId="34" borderId="0" xfId="0" applyNumberFormat="1" applyFont="1" applyFill="1" applyBorder="1" applyAlignment="1">
      <alignment/>
    </xf>
    <xf numFmtId="181" fontId="16" fillId="34" borderId="0" xfId="0" applyNumberFormat="1" applyFont="1" applyFill="1" applyBorder="1" applyAlignment="1">
      <alignment/>
    </xf>
    <xf numFmtId="181" fontId="0" fillId="34" borderId="0" xfId="0" applyNumberFormat="1" applyFont="1" applyFill="1" applyBorder="1" applyAlignment="1">
      <alignment/>
    </xf>
    <xf numFmtId="0" fontId="1" fillId="34" borderId="0" xfId="0" applyFont="1" applyFill="1" applyAlignment="1">
      <alignment horizontal="center"/>
    </xf>
    <xf numFmtId="0" fontId="69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80" fontId="3" fillId="0" borderId="0" xfId="0" applyNumberFormat="1" applyFont="1" applyBorder="1" applyAlignment="1">
      <alignment/>
    </xf>
    <xf numFmtId="3" fontId="3" fillId="34" borderId="0" xfId="0" applyNumberFormat="1" applyFont="1" applyFill="1" applyBorder="1" applyAlignment="1">
      <alignment/>
    </xf>
    <xf numFmtId="180" fontId="3" fillId="34" borderId="0" xfId="0" applyNumberFormat="1" applyFont="1" applyFill="1" applyBorder="1" applyAlignment="1">
      <alignment/>
    </xf>
    <xf numFmtId="180" fontId="3" fillId="34" borderId="0" xfId="0" applyNumberFormat="1" applyFont="1" applyFill="1" applyAlignment="1">
      <alignment horizontal="right"/>
    </xf>
    <xf numFmtId="0" fontId="3" fillId="34" borderId="0" xfId="0" applyFont="1" applyFill="1" applyAlignment="1">
      <alignment/>
    </xf>
    <xf numFmtId="39" fontId="1" fillId="34" borderId="11" xfId="0" applyNumberFormat="1" applyFont="1" applyFill="1" applyBorder="1" applyAlignment="1">
      <alignment/>
    </xf>
    <xf numFmtId="39" fontId="1" fillId="34" borderId="11" xfId="0" applyNumberFormat="1" applyFont="1" applyFill="1" applyBorder="1" applyAlignment="1">
      <alignment horizontal="center"/>
    </xf>
    <xf numFmtId="10" fontId="3" fillId="0" borderId="0" xfId="0" applyNumberFormat="1" applyFont="1" applyAlignment="1">
      <alignment horizontal="right"/>
    </xf>
    <xf numFmtId="0" fontId="70" fillId="34" borderId="0" xfId="0" applyFont="1" applyFill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4" fontId="7" fillId="0" borderId="0" xfId="0" applyNumberFormat="1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180" fontId="73" fillId="0" borderId="0" xfId="0" applyNumberFormat="1" applyFont="1" applyAlignment="1">
      <alignment/>
    </xf>
    <xf numFmtId="14" fontId="21" fillId="0" borderId="0" xfId="0" applyNumberFormat="1" applyFont="1" applyAlignment="1">
      <alignment horizontal="center" vertical="center"/>
    </xf>
    <xf numFmtId="0" fontId="75" fillId="34" borderId="0" xfId="0" applyFont="1" applyFill="1" applyAlignment="1">
      <alignment/>
    </xf>
    <xf numFmtId="3" fontId="75" fillId="34" borderId="0" xfId="0" applyNumberFormat="1" applyFont="1" applyFill="1" applyAlignment="1">
      <alignment/>
    </xf>
    <xf numFmtId="8" fontId="70" fillId="0" borderId="0" xfId="0" applyNumberFormat="1" applyFont="1" applyAlignment="1">
      <alignment/>
    </xf>
    <xf numFmtId="176" fontId="3" fillId="34" borderId="0" xfId="44" applyNumberFormat="1" applyFont="1" applyFill="1" applyAlignment="1">
      <alignment/>
    </xf>
    <xf numFmtId="4" fontId="3" fillId="34" borderId="0" xfId="0" applyNumberFormat="1" applyFont="1" applyFill="1" applyAlignment="1">
      <alignment horizontal="center" vertical="center"/>
    </xf>
    <xf numFmtId="3" fontId="3" fillId="34" borderId="11" xfId="0" applyNumberFormat="1" applyFont="1" applyFill="1" applyBorder="1" applyAlignment="1">
      <alignment/>
    </xf>
    <xf numFmtId="0" fontId="1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4" fontId="3" fillId="34" borderId="0" xfId="0" applyNumberFormat="1" applyFont="1" applyFill="1" applyAlignment="1">
      <alignment horizontal="center"/>
    </xf>
    <xf numFmtId="180" fontId="3" fillId="34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44" fontId="7" fillId="0" borderId="0" xfId="44" applyFont="1" applyAlignment="1">
      <alignment horizontal="center"/>
    </xf>
    <xf numFmtId="4" fontId="7" fillId="0" borderId="14" xfId="0" applyNumberFormat="1" applyFont="1" applyBorder="1" applyAlignment="1">
      <alignment/>
    </xf>
    <xf numFmtId="4" fontId="3" fillId="34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181" fontId="22" fillId="0" borderId="0" xfId="0" applyNumberFormat="1" applyFont="1" applyAlignment="1">
      <alignment/>
    </xf>
    <xf numFmtId="181" fontId="22" fillId="0" borderId="0" xfId="0" applyNumberFormat="1" applyFont="1" applyAlignment="1">
      <alignment vertical="center"/>
    </xf>
    <xf numFmtId="181" fontId="23" fillId="0" borderId="0" xfId="0" applyNumberFormat="1" applyFont="1" applyAlignment="1">
      <alignment/>
    </xf>
    <xf numFmtId="0" fontId="24" fillId="0" borderId="0" xfId="0" applyFont="1" applyAlignment="1">
      <alignment/>
    </xf>
    <xf numFmtId="181" fontId="15" fillId="0" borderId="0" xfId="0" applyNumberFormat="1" applyFont="1" applyAlignment="1">
      <alignment/>
    </xf>
    <xf numFmtId="181" fontId="23" fillId="0" borderId="14" xfId="0" applyNumberFormat="1" applyFont="1" applyBorder="1" applyAlignment="1">
      <alignment/>
    </xf>
    <xf numFmtId="3" fontId="3" fillId="34" borderId="0" xfId="0" applyNumberFormat="1" applyFont="1" applyFill="1" applyAlignment="1">
      <alignment vertical="center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181" fontId="22" fillId="0" borderId="14" xfId="0" applyNumberFormat="1" applyFont="1" applyBorder="1" applyAlignment="1">
      <alignment/>
    </xf>
    <xf numFmtId="0" fontId="0" fillId="34" borderId="14" xfId="0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0" fontId="76" fillId="0" borderId="10" xfId="0" applyFont="1" applyBorder="1" applyAlignment="1">
      <alignment horizontal="center" vertical="center" wrapText="1"/>
    </xf>
    <xf numFmtId="4" fontId="5" fillId="34" borderId="0" xfId="0" applyNumberFormat="1" applyFont="1" applyFill="1" applyAlignment="1">
      <alignment horizontal="center" vertical="center"/>
    </xf>
    <xf numFmtId="0" fontId="7" fillId="34" borderId="0" xfId="0" applyFont="1" applyFill="1" applyAlignment="1">
      <alignment/>
    </xf>
    <xf numFmtId="4" fontId="77" fillId="34" borderId="0" xfId="0" applyNumberFormat="1" applyFont="1" applyFill="1" applyAlignment="1">
      <alignment horizontal="center"/>
    </xf>
    <xf numFmtId="180" fontId="77" fillId="34" borderId="0" xfId="0" applyNumberFormat="1" applyFont="1" applyFill="1" applyAlignment="1">
      <alignment/>
    </xf>
    <xf numFmtId="0" fontId="3" fillId="34" borderId="0" xfId="0" applyFont="1" applyFill="1" applyAlignment="1">
      <alignment horizontal="center" vertical="center" wrapText="1"/>
    </xf>
    <xf numFmtId="3" fontId="78" fillId="34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on\My%20Documents\MVRD%20FY14%20Bud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Summary Budget"/>
      <sheetName val="Sheet1"/>
      <sheetName val="2-Rate Development"/>
      <sheetName val="3-Cost Development"/>
      <sheetName val="4-Assessments, LDO Contracts"/>
      <sheetName val="5-Payroll - Expenses"/>
      <sheetName val="Fixed Cost Anaysis"/>
      <sheetName val="Notes"/>
    </sheetNames>
    <sheetDataSet>
      <sheetData sheetId="0">
        <row r="13">
          <cell r="J13">
            <v>0</v>
          </cell>
        </row>
        <row r="20">
          <cell r="N20">
            <v>649500</v>
          </cell>
        </row>
        <row r="22">
          <cell r="E22">
            <v>160096.15384615384</v>
          </cell>
          <cell r="F22">
            <v>0</v>
          </cell>
        </row>
        <row r="23">
          <cell r="E23">
            <v>147181.73076923078</v>
          </cell>
          <cell r="F23">
            <v>0</v>
          </cell>
        </row>
        <row r="40">
          <cell r="N40">
            <v>2274630.0367153846</v>
          </cell>
        </row>
      </sheetData>
      <sheetData sheetId="3">
        <row r="18">
          <cell r="J18">
            <v>127.5703846153846</v>
          </cell>
        </row>
      </sheetData>
      <sheetData sheetId="5">
        <row r="25">
          <cell r="AD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riel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413"/>
  <sheetViews>
    <sheetView zoomScale="75" zoomScaleNormal="75" zoomScalePageLayoutView="0" workbookViewId="0" topLeftCell="A1">
      <selection activeCell="B3" sqref="B3"/>
    </sheetView>
  </sheetViews>
  <sheetFormatPr defaultColWidth="9.28125" defaultRowHeight="12.75"/>
  <cols>
    <col min="1" max="1" width="1.7109375" style="21" customWidth="1"/>
    <col min="2" max="2" width="33.140625" style="21" customWidth="1"/>
    <col min="3" max="3" width="9.421875" style="10" customWidth="1"/>
    <col min="4" max="4" width="11.57421875" style="21" customWidth="1"/>
    <col min="5" max="5" width="11.57421875" style="22" customWidth="1"/>
    <col min="6" max="6" width="11.57421875" style="22" hidden="1" customWidth="1"/>
    <col min="7" max="14" width="11.57421875" style="21" customWidth="1"/>
    <col min="15" max="15" width="9.28125" style="21" customWidth="1"/>
    <col min="16" max="16" width="11.00390625" style="21" bestFit="1" customWidth="1"/>
    <col min="17" max="17" width="21.7109375" style="21" customWidth="1"/>
    <col min="18" max="19" width="9.28125" style="21" customWidth="1"/>
    <col min="20" max="20" width="4.7109375" style="21" customWidth="1"/>
    <col min="21" max="21" width="6.00390625" style="21" customWidth="1"/>
    <col min="22" max="22" width="9.28125" style="21" hidden="1" customWidth="1"/>
    <col min="23" max="23" width="9.28125" style="258" hidden="1" customWidth="1"/>
    <col min="24" max="24" width="5.8515625" style="258" hidden="1" customWidth="1"/>
    <col min="25" max="26" width="0" style="258" hidden="1" customWidth="1"/>
    <col min="27" max="27" width="14.140625" style="258" hidden="1" customWidth="1"/>
    <col min="28" max="28" width="21.140625" style="260" hidden="1" customWidth="1"/>
    <col min="29" max="29" width="0" style="258" hidden="1" customWidth="1"/>
    <col min="30" max="30" width="20.28125" style="258" hidden="1" customWidth="1"/>
    <col min="31" max="31" width="13.7109375" style="258" hidden="1" customWidth="1"/>
    <col min="32" max="33" width="0" style="258" hidden="1" customWidth="1"/>
    <col min="34" max="34" width="9.28125" style="258" customWidth="1"/>
    <col min="35" max="16384" width="9.28125" style="21" customWidth="1"/>
  </cols>
  <sheetData>
    <row r="2" spans="2:28" ht="19.5" customHeight="1">
      <c r="B2" s="107"/>
      <c r="H2" s="108" t="s">
        <v>111</v>
      </c>
      <c r="AB2" s="262" t="s">
        <v>232</v>
      </c>
    </row>
    <row r="3" spans="2:11" ht="18">
      <c r="B3" s="279" t="s">
        <v>257</v>
      </c>
      <c r="C3" s="188"/>
      <c r="D3" s="231"/>
      <c r="E3" s="177"/>
      <c r="H3" s="108" t="s">
        <v>197</v>
      </c>
      <c r="K3" s="21" t="s">
        <v>168</v>
      </c>
    </row>
    <row r="4" spans="2:30" ht="18">
      <c r="B4" s="225"/>
      <c r="H4" s="108" t="s">
        <v>112</v>
      </c>
      <c r="AB4" s="262" t="s">
        <v>244</v>
      </c>
      <c r="AD4" s="267" t="s">
        <v>223</v>
      </c>
    </row>
    <row r="5" spans="2:34" s="36" customFormat="1" ht="35.25" customHeight="1">
      <c r="B5" s="243"/>
      <c r="C5" s="9" t="s">
        <v>60</v>
      </c>
      <c r="D5" s="37" t="s">
        <v>42</v>
      </c>
      <c r="E5" s="28" t="s">
        <v>4</v>
      </c>
      <c r="F5" s="28" t="s">
        <v>30</v>
      </c>
      <c r="G5" s="28" t="s">
        <v>178</v>
      </c>
      <c r="H5" s="28" t="s">
        <v>44</v>
      </c>
      <c r="I5" s="28" t="s">
        <v>43</v>
      </c>
      <c r="J5" s="28" t="s">
        <v>6</v>
      </c>
      <c r="K5" s="28" t="s">
        <v>7</v>
      </c>
      <c r="L5" s="28" t="s">
        <v>8</v>
      </c>
      <c r="M5" s="28" t="s">
        <v>193</v>
      </c>
      <c r="N5" s="28" t="s">
        <v>56</v>
      </c>
      <c r="W5" s="258" t="s">
        <v>210</v>
      </c>
      <c r="X5" s="258"/>
      <c r="Y5" s="258"/>
      <c r="Z5" s="258"/>
      <c r="AA5" s="258"/>
      <c r="AB5" s="260"/>
      <c r="AC5" s="258"/>
      <c r="AD5" s="258"/>
      <c r="AE5" s="258"/>
      <c r="AF5" s="258"/>
      <c r="AG5" s="258"/>
      <c r="AH5" s="258"/>
    </row>
    <row r="6" spans="2:30" ht="24" customHeight="1">
      <c r="B6" s="21" t="s">
        <v>113</v>
      </c>
      <c r="C6" s="50" t="s">
        <v>96</v>
      </c>
      <c r="E6" s="34">
        <f>'2-Cost Development'!I26</f>
        <v>10500</v>
      </c>
      <c r="F6" s="34"/>
      <c r="L6" s="63"/>
      <c r="N6" s="34">
        <f>SUM(D6:M6)</f>
        <v>10500</v>
      </c>
      <c r="W6" s="258" t="s">
        <v>211</v>
      </c>
      <c r="AD6" s="260">
        <v>2500</v>
      </c>
    </row>
    <row r="7" spans="2:34" s="88" customFormat="1" ht="13.5" customHeight="1">
      <c r="B7" s="88" t="s">
        <v>100</v>
      </c>
      <c r="C7" s="274">
        <v>210</v>
      </c>
      <c r="D7" s="63"/>
      <c r="E7" s="180">
        <f>3200*C7+60000</f>
        <v>732000</v>
      </c>
      <c r="F7" s="63"/>
      <c r="G7" s="63"/>
      <c r="H7" s="63"/>
      <c r="I7" s="63"/>
      <c r="J7" s="63"/>
      <c r="K7" s="63"/>
      <c r="L7" s="63"/>
      <c r="M7" s="63"/>
      <c r="N7" s="63">
        <f>SUM(D7:M7)</f>
        <v>732000</v>
      </c>
      <c r="W7" s="259" t="s">
        <v>212</v>
      </c>
      <c r="X7" s="259"/>
      <c r="Y7" s="259"/>
      <c r="Z7" s="259"/>
      <c r="AA7" s="259"/>
      <c r="AB7" s="261">
        <v>4330</v>
      </c>
      <c r="AC7" s="259"/>
      <c r="AD7" s="259"/>
      <c r="AE7" s="259"/>
      <c r="AF7" s="259"/>
      <c r="AG7" s="259"/>
      <c r="AH7" s="259"/>
    </row>
    <row r="8" spans="2:34" s="88" customFormat="1" ht="13.5" customHeight="1">
      <c r="B8" s="88" t="s">
        <v>101</v>
      </c>
      <c r="C8" s="274">
        <v>250</v>
      </c>
      <c r="D8" s="63"/>
      <c r="E8" s="103">
        <f>4050*C8</f>
        <v>1012500</v>
      </c>
      <c r="F8" s="63"/>
      <c r="G8" s="63"/>
      <c r="H8" s="63"/>
      <c r="I8" s="63"/>
      <c r="J8" s="63"/>
      <c r="K8" s="63"/>
      <c r="L8" s="63"/>
      <c r="M8" s="63"/>
      <c r="N8" s="63">
        <f>SUM(D8:M8)</f>
        <v>1012500</v>
      </c>
      <c r="W8" s="259" t="s">
        <v>213</v>
      </c>
      <c r="X8" s="259"/>
      <c r="Y8" s="259"/>
      <c r="Z8" s="259"/>
      <c r="AA8" s="259"/>
      <c r="AB8" s="261">
        <v>4890</v>
      </c>
      <c r="AC8" s="259"/>
      <c r="AD8" s="259"/>
      <c r="AE8" s="259"/>
      <c r="AF8" s="259"/>
      <c r="AG8" s="259"/>
      <c r="AH8" s="259"/>
    </row>
    <row r="9" spans="2:34" s="88" customFormat="1" ht="13.5" customHeight="1">
      <c r="B9" s="88" t="s">
        <v>194</v>
      </c>
      <c r="C9" s="81"/>
      <c r="D9" s="63"/>
      <c r="E9" s="180">
        <f>3250*180</f>
        <v>585000</v>
      </c>
      <c r="F9" s="63"/>
      <c r="G9" s="63"/>
      <c r="H9" s="63"/>
      <c r="I9" s="63"/>
      <c r="J9" s="63"/>
      <c r="K9" s="63"/>
      <c r="L9" s="63"/>
      <c r="M9" s="63"/>
      <c r="N9" s="63">
        <f>SUM(D9:M9)</f>
        <v>585000</v>
      </c>
      <c r="W9" s="259" t="s">
        <v>226</v>
      </c>
      <c r="X9" s="259"/>
      <c r="Y9" s="259"/>
      <c r="Z9" s="259"/>
      <c r="AA9" s="259"/>
      <c r="AB9" s="261">
        <v>53583</v>
      </c>
      <c r="AC9" s="259"/>
      <c r="AD9" s="259"/>
      <c r="AE9" s="259"/>
      <c r="AF9" s="259"/>
      <c r="AG9" s="259"/>
      <c r="AH9" s="259"/>
    </row>
    <row r="10" spans="2:14" ht="14.25" customHeight="1">
      <c r="B10" s="21" t="s">
        <v>45</v>
      </c>
      <c r="C10" s="10" t="s">
        <v>95</v>
      </c>
      <c r="D10" s="62">
        <f>-SUM(D12:D14)+D39</f>
        <v>372426.08453</v>
      </c>
      <c r="E10" s="103"/>
      <c r="F10" s="63"/>
      <c r="G10" s="62">
        <f>-SUM(G12:G14)+G39</f>
        <v>68050.66666666666</v>
      </c>
      <c r="H10" s="62">
        <f>-SUM(H12:H14)+H39</f>
        <v>67350</v>
      </c>
      <c r="I10" s="100">
        <f>-SUM(I12:I14)+I39</f>
        <v>309371.4</v>
      </c>
      <c r="J10" s="62"/>
      <c r="K10" s="62"/>
      <c r="L10" s="62"/>
      <c r="M10" s="62"/>
      <c r="N10" s="62">
        <f>SUM(D10:M10)</f>
        <v>817198.1511966666</v>
      </c>
    </row>
    <row r="11" spans="2:23" ht="14.25" customHeight="1">
      <c r="B11" s="21" t="s">
        <v>116</v>
      </c>
      <c r="D11" s="62"/>
      <c r="E11" s="178">
        <f>O47</f>
        <v>21400</v>
      </c>
      <c r="F11" s="62"/>
      <c r="G11" s="62"/>
      <c r="H11" s="100"/>
      <c r="I11" s="62"/>
      <c r="J11" s="62"/>
      <c r="K11" s="62"/>
      <c r="L11" s="62"/>
      <c r="M11" s="62"/>
      <c r="N11" s="62">
        <f aca="true" t="shared" si="0" ref="N11:N38">SUM(D11:M11)</f>
        <v>21400</v>
      </c>
      <c r="W11" s="258" t="s">
        <v>53</v>
      </c>
    </row>
    <row r="12" spans="2:28" ht="14.25" customHeight="1">
      <c r="B12" s="21" t="s">
        <v>205</v>
      </c>
      <c r="C12" s="10" t="s">
        <v>95</v>
      </c>
      <c r="D12" s="62"/>
      <c r="E12" s="180"/>
      <c r="G12" s="62"/>
      <c r="H12" s="100"/>
      <c r="I12" s="62"/>
      <c r="J12" s="62">
        <f>SUM(J16:J38)</f>
        <v>0</v>
      </c>
      <c r="K12" s="178">
        <f>SUM(K16:K38)</f>
        <v>37166.887106716</v>
      </c>
      <c r="L12" s="62">
        <f>SUM(L16:L38)</f>
        <v>80497.681562</v>
      </c>
      <c r="M12" s="178">
        <f>SUM(M16:M38)</f>
        <v>0</v>
      </c>
      <c r="N12" s="62">
        <f>SUM(D12:M12)</f>
        <v>117664.568668716</v>
      </c>
      <c r="W12" s="258" t="s">
        <v>212</v>
      </c>
      <c r="AB12" s="260">
        <v>730</v>
      </c>
    </row>
    <row r="13" spans="2:28" ht="14.25" customHeight="1">
      <c r="B13" s="21" t="s">
        <v>152</v>
      </c>
      <c r="D13" s="62"/>
      <c r="E13" s="266">
        <v>242687</v>
      </c>
      <c r="F13" s="180"/>
      <c r="G13" s="213">
        <v>82000</v>
      </c>
      <c r="H13" s="178">
        <v>16000</v>
      </c>
      <c r="I13" s="178"/>
      <c r="J13" s="62"/>
      <c r="K13" s="178"/>
      <c r="L13" s="62"/>
      <c r="M13" s="178"/>
      <c r="N13" s="62">
        <f t="shared" si="0"/>
        <v>340687</v>
      </c>
      <c r="Q13" s="183"/>
      <c r="W13" s="258" t="s">
        <v>214</v>
      </c>
      <c r="AB13" s="260">
        <v>7815</v>
      </c>
    </row>
    <row r="14" spans="2:14" ht="14.25" customHeight="1">
      <c r="B14" s="21" t="s">
        <v>46</v>
      </c>
      <c r="D14" s="62"/>
      <c r="E14" s="180">
        <v>2700</v>
      </c>
      <c r="F14" s="129"/>
      <c r="G14" s="128"/>
      <c r="H14" s="100"/>
      <c r="I14" s="62"/>
      <c r="J14" s="62"/>
      <c r="K14" s="178"/>
      <c r="L14" s="62"/>
      <c r="M14" s="178"/>
      <c r="N14" s="62">
        <f t="shared" si="0"/>
        <v>2700</v>
      </c>
    </row>
    <row r="15" spans="2:23" ht="21" customHeight="1">
      <c r="B15" s="35" t="s">
        <v>48</v>
      </c>
      <c r="D15" s="64">
        <f aca="true" t="shared" si="1" ref="D15:M15">SUM(D7:D14)</f>
        <v>372426.08453</v>
      </c>
      <c r="E15" s="64">
        <f t="shared" si="1"/>
        <v>2596287</v>
      </c>
      <c r="F15" s="64">
        <f t="shared" si="1"/>
        <v>0</v>
      </c>
      <c r="G15" s="64">
        <f t="shared" si="1"/>
        <v>150050.66666666666</v>
      </c>
      <c r="H15" s="101">
        <f t="shared" si="1"/>
        <v>83350</v>
      </c>
      <c r="I15" s="64">
        <f t="shared" si="1"/>
        <v>309371.4</v>
      </c>
      <c r="J15" s="64">
        <f t="shared" si="1"/>
        <v>0</v>
      </c>
      <c r="K15" s="217">
        <f t="shared" si="1"/>
        <v>37166.887106716</v>
      </c>
      <c r="L15" s="64">
        <f t="shared" si="1"/>
        <v>80497.681562</v>
      </c>
      <c r="M15" s="217">
        <f t="shared" si="1"/>
        <v>0</v>
      </c>
      <c r="N15" s="64">
        <f t="shared" si="0"/>
        <v>3629149.7198653826</v>
      </c>
      <c r="W15" s="258" t="s">
        <v>215</v>
      </c>
    </row>
    <row r="16" spans="2:28" ht="20.25" customHeight="1">
      <c r="B16" s="21" t="s">
        <v>31</v>
      </c>
      <c r="C16" s="10" t="s">
        <v>97</v>
      </c>
      <c r="D16" s="178">
        <f>'4-Payroll - Expenses'!R30</f>
        <v>346426.08453</v>
      </c>
      <c r="E16" s="178">
        <f>'4-Payroll - Expenses'!X30</f>
        <v>816603.693709934</v>
      </c>
      <c r="F16" s="62">
        <f>'4-Payroll - Expenses'!AD29</f>
        <v>0</v>
      </c>
      <c r="G16" s="62"/>
      <c r="H16" s="62"/>
      <c r="I16" s="62"/>
      <c r="J16" s="62"/>
      <c r="K16" s="178">
        <f>'4-Payroll - Expenses'!AO30</f>
        <v>36666.887106716</v>
      </c>
      <c r="L16" s="62">
        <f>'4-Payroll - Expenses'!AU30</f>
        <v>79997.681562</v>
      </c>
      <c r="M16" s="230">
        <f>'4-Payroll - Expenses'!BA30</f>
        <v>0</v>
      </c>
      <c r="N16" s="62">
        <f t="shared" si="0"/>
        <v>1279694.34690865</v>
      </c>
      <c r="O16" s="22"/>
      <c r="P16" s="183"/>
      <c r="Q16" s="126"/>
      <c r="W16" s="258" t="s">
        <v>212</v>
      </c>
      <c r="AB16" s="260">
        <v>1073</v>
      </c>
    </row>
    <row r="17" spans="2:28" ht="14.25">
      <c r="B17" s="21" t="s">
        <v>25</v>
      </c>
      <c r="D17" s="62"/>
      <c r="E17" s="62"/>
      <c r="F17" s="62"/>
      <c r="G17" s="62"/>
      <c r="H17" s="100"/>
      <c r="I17" s="62"/>
      <c r="J17" s="62"/>
      <c r="K17" s="62"/>
      <c r="L17" s="62"/>
      <c r="M17" s="62"/>
      <c r="N17" s="62">
        <f t="shared" si="0"/>
        <v>0</v>
      </c>
      <c r="Q17" s="183"/>
      <c r="W17" s="258" t="s">
        <v>214</v>
      </c>
      <c r="AB17" s="260">
        <v>15580</v>
      </c>
    </row>
    <row r="18" spans="2:28" ht="15.75">
      <c r="B18" s="21" t="s">
        <v>208</v>
      </c>
      <c r="D18" s="62"/>
      <c r="E18" s="62">
        <v>17821</v>
      </c>
      <c r="F18" s="62">
        <f>'2-Rate Development'!F7</f>
        <v>0</v>
      </c>
      <c r="G18" s="62"/>
      <c r="H18" s="100"/>
      <c r="I18" s="62"/>
      <c r="J18" s="62"/>
      <c r="K18" s="62"/>
      <c r="L18" s="62"/>
      <c r="M18" s="62"/>
      <c r="N18" s="62">
        <f t="shared" si="0"/>
        <v>17821</v>
      </c>
      <c r="Q18" s="183"/>
      <c r="Z18" s="263" t="s">
        <v>216</v>
      </c>
      <c r="AA18" s="263"/>
      <c r="AB18" s="264">
        <f>SUM(AB7:AB17)</f>
        <v>88001</v>
      </c>
    </row>
    <row r="19" spans="2:14" ht="14.25">
      <c r="B19" s="21" t="s">
        <v>66</v>
      </c>
      <c r="C19" s="10" t="s">
        <v>98</v>
      </c>
      <c r="D19" s="65"/>
      <c r="E19" s="178">
        <f>'2-Cost Development'!K26</f>
        <v>971765</v>
      </c>
      <c r="F19" s="62">
        <f>F6*'2-Cost Development'!J6</f>
        <v>0</v>
      </c>
      <c r="G19" s="62"/>
      <c r="H19" s="178">
        <v>52500</v>
      </c>
      <c r="I19" s="62"/>
      <c r="J19" s="62"/>
      <c r="K19" s="62"/>
      <c r="L19" s="62"/>
      <c r="M19" s="62"/>
      <c r="N19" s="62">
        <f t="shared" si="0"/>
        <v>1024265</v>
      </c>
    </row>
    <row r="20" spans="2:23" ht="14.25">
      <c r="B20" s="21" t="s">
        <v>156</v>
      </c>
      <c r="D20" s="62"/>
      <c r="E20" s="62"/>
      <c r="F20" s="62"/>
      <c r="G20" s="178">
        <f>SUM('2-Cost Development'!R6)</f>
        <v>85634</v>
      </c>
      <c r="H20" s="178"/>
      <c r="I20" s="62"/>
      <c r="J20" s="62"/>
      <c r="K20" s="62"/>
      <c r="L20" s="62"/>
      <c r="M20" s="62"/>
      <c r="N20" s="62">
        <f t="shared" si="0"/>
        <v>85634</v>
      </c>
      <c r="W20" s="258" t="s">
        <v>217</v>
      </c>
    </row>
    <row r="21" spans="2:30" ht="14.25">
      <c r="B21" s="21" t="s">
        <v>61</v>
      </c>
      <c r="C21" s="10" t="s">
        <v>98</v>
      </c>
      <c r="D21" s="62"/>
      <c r="E21" s="178">
        <f>E6*'2-Cost Development'!J11</f>
        <v>255990</v>
      </c>
      <c r="F21" s="178">
        <f>F6*'2-Cost Development'!J11</f>
        <v>0</v>
      </c>
      <c r="G21" s="178">
        <f>'2-Cost Development'!T15</f>
        <v>25958.333333333332</v>
      </c>
      <c r="H21" s="178">
        <v>3200</v>
      </c>
      <c r="I21" s="62"/>
      <c r="J21" s="62"/>
      <c r="K21" s="62"/>
      <c r="L21" s="62"/>
      <c r="M21" s="62"/>
      <c r="N21" s="62">
        <f t="shared" si="0"/>
        <v>285148.3333333333</v>
      </c>
      <c r="Q21" s="183"/>
      <c r="W21" s="258" t="s">
        <v>228</v>
      </c>
      <c r="AB21" s="260">
        <v>1645</v>
      </c>
      <c r="AD21" s="260">
        <v>0</v>
      </c>
    </row>
    <row r="22" spans="2:30" ht="14.25">
      <c r="B22" s="21" t="s">
        <v>160</v>
      </c>
      <c r="C22" s="10" t="s">
        <v>98</v>
      </c>
      <c r="D22" s="62"/>
      <c r="E22" s="178">
        <f>E6*'2-Cost Development'!J17</f>
        <v>256125</v>
      </c>
      <c r="F22" s="178">
        <f>F6*'2-Cost Development'!J17</f>
        <v>0</v>
      </c>
      <c r="G22" s="178">
        <f>'2-Cost Development'!T16</f>
        <v>28458.333333333332</v>
      </c>
      <c r="H22" s="178"/>
      <c r="I22" s="100"/>
      <c r="J22" s="102"/>
      <c r="K22" s="102"/>
      <c r="L22" s="102"/>
      <c r="M22" s="102"/>
      <c r="N22" s="62">
        <f t="shared" si="0"/>
        <v>284583.3333333333</v>
      </c>
      <c r="O22" s="98"/>
      <c r="P22" s="107"/>
      <c r="Q22" s="104"/>
      <c r="R22" s="107"/>
      <c r="S22" s="107"/>
      <c r="W22" s="258" t="s">
        <v>233</v>
      </c>
      <c r="AB22" s="260">
        <v>30493</v>
      </c>
      <c r="AD22" s="260"/>
    </row>
    <row r="23" spans="2:30" ht="14.25">
      <c r="B23" s="21" t="s">
        <v>177</v>
      </c>
      <c r="D23" s="62"/>
      <c r="E23" s="178"/>
      <c r="F23" s="178"/>
      <c r="G23" s="178">
        <v>10000</v>
      </c>
      <c r="H23" s="178"/>
      <c r="I23" s="100"/>
      <c r="J23" s="102"/>
      <c r="K23" s="102"/>
      <c r="L23" s="102"/>
      <c r="M23" s="102"/>
      <c r="N23" s="62">
        <f t="shared" si="0"/>
        <v>10000</v>
      </c>
      <c r="O23" s="98"/>
      <c r="P23" s="107"/>
      <c r="Q23" s="104"/>
      <c r="R23" s="107"/>
      <c r="S23" s="107"/>
      <c r="W23" s="258" t="s">
        <v>218</v>
      </c>
      <c r="AB23" s="260">
        <v>27125</v>
      </c>
      <c r="AD23" s="260">
        <v>14133</v>
      </c>
    </row>
    <row r="24" spans="2:30" ht="14.25">
      <c r="B24" s="21" t="s">
        <v>47</v>
      </c>
      <c r="D24" s="62"/>
      <c r="E24" s="62"/>
      <c r="F24" s="62"/>
      <c r="G24" s="62"/>
      <c r="H24" s="178"/>
      <c r="I24" s="213">
        <v>250000</v>
      </c>
      <c r="J24" s="62"/>
      <c r="K24" s="62"/>
      <c r="L24" s="62"/>
      <c r="M24" s="62"/>
      <c r="N24" s="62">
        <f t="shared" si="0"/>
        <v>250000</v>
      </c>
      <c r="W24" s="258" t="s">
        <v>219</v>
      </c>
      <c r="AB24" s="260">
        <v>46505</v>
      </c>
      <c r="AD24" s="260">
        <v>-7000</v>
      </c>
    </row>
    <row r="25" spans="2:30" ht="14.25">
      <c r="B25" s="21" t="s">
        <v>148</v>
      </c>
      <c r="D25" s="62"/>
      <c r="G25" s="62"/>
      <c r="H25" s="178"/>
      <c r="I25" s="213">
        <v>59371.4</v>
      </c>
      <c r="J25" s="62"/>
      <c r="K25" s="62"/>
      <c r="L25" s="62"/>
      <c r="M25" s="62"/>
      <c r="N25" s="62">
        <f t="shared" si="0"/>
        <v>59371.4</v>
      </c>
      <c r="Q25" s="183"/>
      <c r="W25" s="258" t="s">
        <v>149</v>
      </c>
      <c r="AB25" s="260">
        <v>48268</v>
      </c>
      <c r="AD25" s="260">
        <v>-88000</v>
      </c>
    </row>
    <row r="26" spans="2:30" ht="14.25">
      <c r="B26" s="21" t="s">
        <v>57</v>
      </c>
      <c r="D26" s="62"/>
      <c r="E26" s="62">
        <v>0</v>
      </c>
      <c r="F26" s="62"/>
      <c r="G26" s="62"/>
      <c r="H26" s="178">
        <v>1650</v>
      </c>
      <c r="I26" s="62"/>
      <c r="J26" s="62"/>
      <c r="K26" s="62"/>
      <c r="L26" s="62"/>
      <c r="M26" s="62"/>
      <c r="N26" s="62">
        <f t="shared" si="0"/>
        <v>1650</v>
      </c>
      <c r="W26" s="258" t="s">
        <v>142</v>
      </c>
      <c r="AB26" s="260">
        <v>63262</v>
      </c>
      <c r="AD26" s="260">
        <v>20000</v>
      </c>
    </row>
    <row r="27" spans="2:30" ht="14.25">
      <c r="B27" s="21" t="s">
        <v>151</v>
      </c>
      <c r="D27" s="62"/>
      <c r="E27" s="178">
        <v>0</v>
      </c>
      <c r="F27" s="62"/>
      <c r="G27" s="62"/>
      <c r="H27" s="100"/>
      <c r="I27" s="62"/>
      <c r="J27" s="62"/>
      <c r="K27" s="62"/>
      <c r="L27" s="62"/>
      <c r="M27" s="62"/>
      <c r="N27" s="62">
        <f t="shared" si="0"/>
        <v>0</v>
      </c>
      <c r="W27" s="258" t="s">
        <v>220</v>
      </c>
      <c r="AB27" s="260">
        <v>14147</v>
      </c>
      <c r="AD27" s="260">
        <v>4500</v>
      </c>
    </row>
    <row r="28" spans="2:30" ht="14.25">
      <c r="B28" s="21" t="s">
        <v>58</v>
      </c>
      <c r="C28" s="10" t="s">
        <v>110</v>
      </c>
      <c r="D28" s="62"/>
      <c r="E28" s="178">
        <v>32000</v>
      </c>
      <c r="F28" s="62"/>
      <c r="G28" s="62"/>
      <c r="H28" s="100"/>
      <c r="I28" s="62"/>
      <c r="J28" s="62"/>
      <c r="K28" s="62"/>
      <c r="L28" s="62"/>
      <c r="M28" s="62"/>
      <c r="N28" s="62">
        <f t="shared" si="0"/>
        <v>32000</v>
      </c>
      <c r="W28" s="258" t="s">
        <v>221</v>
      </c>
      <c r="AB28" s="260">
        <v>65001</v>
      </c>
      <c r="AD28" s="260">
        <v>28000</v>
      </c>
    </row>
    <row r="29" spans="2:30" ht="14.25">
      <c r="B29" s="21" t="s">
        <v>59</v>
      </c>
      <c r="D29" s="62"/>
      <c r="E29" s="178">
        <v>1200</v>
      </c>
      <c r="F29" s="62"/>
      <c r="G29" s="62"/>
      <c r="H29" s="100"/>
      <c r="I29" s="62"/>
      <c r="J29" s="62"/>
      <c r="K29" s="62"/>
      <c r="L29" s="62"/>
      <c r="M29" s="62"/>
      <c r="N29" s="62">
        <f t="shared" si="0"/>
        <v>1200</v>
      </c>
      <c r="W29" s="258" t="s">
        <v>229</v>
      </c>
      <c r="AB29" s="260">
        <v>4396</v>
      </c>
      <c r="AD29" s="260"/>
    </row>
    <row r="30" spans="2:30" ht="14.25">
      <c r="B30" s="21" t="s">
        <v>164</v>
      </c>
      <c r="D30" s="62"/>
      <c r="E30" s="178">
        <v>23000</v>
      </c>
      <c r="F30" s="62"/>
      <c r="G30" s="62"/>
      <c r="H30" s="100"/>
      <c r="I30" s="62"/>
      <c r="J30" s="62"/>
      <c r="K30" s="62"/>
      <c r="L30" s="62"/>
      <c r="M30" s="62"/>
      <c r="N30" s="62">
        <f t="shared" si="0"/>
        <v>23000</v>
      </c>
      <c r="W30" s="258" t="s">
        <v>230</v>
      </c>
      <c r="AB30" s="260">
        <v>45789</v>
      </c>
      <c r="AD30" s="260"/>
    </row>
    <row r="31" spans="2:30" ht="14.25">
      <c r="B31" s="21" t="s">
        <v>184</v>
      </c>
      <c r="D31" s="62"/>
      <c r="E31" s="178"/>
      <c r="F31" s="62"/>
      <c r="G31" s="62"/>
      <c r="H31" s="100">
        <v>26000</v>
      </c>
      <c r="I31" s="62"/>
      <c r="J31" s="62"/>
      <c r="K31" s="62"/>
      <c r="L31" s="62"/>
      <c r="M31" s="62"/>
      <c r="N31" s="62">
        <f t="shared" si="0"/>
        <v>26000</v>
      </c>
      <c r="W31" s="258" t="s">
        <v>231</v>
      </c>
      <c r="AB31" s="260">
        <v>3024</v>
      </c>
      <c r="AD31" s="260"/>
    </row>
    <row r="32" spans="2:30" ht="14.25">
      <c r="B32" s="21" t="s">
        <v>182</v>
      </c>
      <c r="C32" s="90"/>
      <c r="D32" s="178">
        <v>26000</v>
      </c>
      <c r="E32" s="178">
        <v>4000</v>
      </c>
      <c r="F32" s="62"/>
      <c r="G32" s="62"/>
      <c r="H32" s="100"/>
      <c r="I32" s="62"/>
      <c r="J32" s="62"/>
      <c r="K32" s="62"/>
      <c r="L32" s="62"/>
      <c r="M32" s="62"/>
      <c r="N32" s="62">
        <f t="shared" si="0"/>
        <v>30000</v>
      </c>
      <c r="W32" s="258" t="s">
        <v>234</v>
      </c>
      <c r="AB32" s="260">
        <v>680</v>
      </c>
      <c r="AD32" s="260"/>
    </row>
    <row r="33" spans="2:30" ht="15">
      <c r="B33" s="21" t="s">
        <v>27</v>
      </c>
      <c r="D33" s="62"/>
      <c r="E33" s="178">
        <v>53000</v>
      </c>
      <c r="F33" s="62"/>
      <c r="G33" s="62"/>
      <c r="H33" s="100"/>
      <c r="I33" s="62"/>
      <c r="J33" s="62"/>
      <c r="K33" s="62"/>
      <c r="L33" s="62"/>
      <c r="M33" s="62"/>
      <c r="N33" s="62">
        <f t="shared" si="0"/>
        <v>53000</v>
      </c>
      <c r="Z33" s="258" t="s">
        <v>222</v>
      </c>
      <c r="AB33" s="262">
        <f>SUM(AB21:AB32)</f>
        <v>350335</v>
      </c>
      <c r="AD33" s="260">
        <f>SUM(AD6:AD28)</f>
        <v>-25867</v>
      </c>
    </row>
    <row r="34" spans="2:30" ht="15">
      <c r="B34" s="21" t="s">
        <v>28</v>
      </c>
      <c r="D34" s="62"/>
      <c r="E34" s="178">
        <v>13000</v>
      </c>
      <c r="F34" s="62"/>
      <c r="G34" s="62"/>
      <c r="H34" s="100"/>
      <c r="I34" s="62"/>
      <c r="J34" s="62"/>
      <c r="K34" s="62"/>
      <c r="L34" s="62"/>
      <c r="M34" s="62"/>
      <c r="N34" s="62">
        <f t="shared" si="0"/>
        <v>13000</v>
      </c>
      <c r="Y34" s="267" t="s">
        <v>227</v>
      </c>
      <c r="AB34" s="262">
        <f>AB33+AD33</f>
        <v>324468</v>
      </c>
      <c r="AD34" s="260"/>
    </row>
    <row r="35" spans="2:30" ht="14.25">
      <c r="B35" s="21" t="s">
        <v>29</v>
      </c>
      <c r="D35" s="100"/>
      <c r="E35" s="178">
        <v>30000</v>
      </c>
      <c r="F35" s="62"/>
      <c r="G35" s="62"/>
      <c r="H35" s="100"/>
      <c r="I35" s="62"/>
      <c r="J35" s="62"/>
      <c r="K35" s="62"/>
      <c r="M35" s="62"/>
      <c r="N35" s="62">
        <f t="shared" si="0"/>
        <v>30000</v>
      </c>
      <c r="AD35" s="260"/>
    </row>
    <row r="36" spans="2:30" ht="15">
      <c r="B36" s="21" t="s">
        <v>33</v>
      </c>
      <c r="D36" s="62"/>
      <c r="E36" s="178">
        <v>66000</v>
      </c>
      <c r="F36" s="62"/>
      <c r="G36" s="62"/>
      <c r="H36" s="128"/>
      <c r="I36" s="62"/>
      <c r="J36" s="62"/>
      <c r="K36" s="128">
        <v>500</v>
      </c>
      <c r="L36" s="128">
        <v>500</v>
      </c>
      <c r="M36" s="128"/>
      <c r="N36" s="62">
        <f t="shared" si="0"/>
        <v>67000</v>
      </c>
      <c r="AB36" s="262"/>
      <c r="AD36" s="260"/>
    </row>
    <row r="37" spans="2:30" ht="14.25">
      <c r="B37" s="21" t="s">
        <v>21</v>
      </c>
      <c r="D37" s="62"/>
      <c r="E37" s="178">
        <v>55782</v>
      </c>
      <c r="F37" s="62"/>
      <c r="G37" s="62"/>
      <c r="H37" s="62"/>
      <c r="I37" s="62"/>
      <c r="J37" s="62"/>
      <c r="K37" s="62"/>
      <c r="L37" s="62"/>
      <c r="M37" s="62"/>
      <c r="N37" s="62">
        <f t="shared" si="0"/>
        <v>55782</v>
      </c>
      <c r="AD37" s="260"/>
    </row>
    <row r="38" spans="2:30" ht="14.25">
      <c r="B38" s="21" t="s">
        <v>51</v>
      </c>
      <c r="D38" s="62"/>
      <c r="E38" s="178"/>
      <c r="F38" s="62"/>
      <c r="G38" s="62"/>
      <c r="H38" s="62"/>
      <c r="I38" s="62"/>
      <c r="J38" s="62"/>
      <c r="K38" s="62"/>
      <c r="L38" s="62"/>
      <c r="M38" s="62"/>
      <c r="N38" s="62">
        <f t="shared" si="0"/>
        <v>0</v>
      </c>
      <c r="AD38" s="260"/>
    </row>
    <row r="39" spans="2:30" ht="19.5" customHeight="1">
      <c r="B39" s="35" t="s">
        <v>50</v>
      </c>
      <c r="D39" s="64">
        <f aca="true" t="shared" si="2" ref="D39:N39">SUM(D16:D38)</f>
        <v>372426.08453</v>
      </c>
      <c r="E39" s="64">
        <f t="shared" si="2"/>
        <v>2596286.693709934</v>
      </c>
      <c r="F39" s="64">
        <f t="shared" si="2"/>
        <v>0</v>
      </c>
      <c r="G39" s="64">
        <f t="shared" si="2"/>
        <v>150050.66666666666</v>
      </c>
      <c r="H39" s="64">
        <f t="shared" si="2"/>
        <v>83350</v>
      </c>
      <c r="I39" s="64">
        <f t="shared" si="2"/>
        <v>309371.4</v>
      </c>
      <c r="J39" s="64">
        <f t="shared" si="2"/>
        <v>0</v>
      </c>
      <c r="K39" s="64">
        <f t="shared" si="2"/>
        <v>37166.887106716</v>
      </c>
      <c r="L39" s="64">
        <f t="shared" si="2"/>
        <v>80497.681562</v>
      </c>
      <c r="M39" s="64">
        <f t="shared" si="2"/>
        <v>0</v>
      </c>
      <c r="N39" s="64">
        <f t="shared" si="2"/>
        <v>3629149.413575317</v>
      </c>
      <c r="AD39" s="260"/>
    </row>
    <row r="40" spans="2:30" ht="21" customHeight="1" thickBot="1">
      <c r="B40" s="35" t="s">
        <v>49</v>
      </c>
      <c r="D40" s="66">
        <f aca="true" t="shared" si="3" ref="D40:I40">D15-D39</f>
        <v>0</v>
      </c>
      <c r="E40" s="66">
        <f t="shared" si="3"/>
        <v>0.306290065869689</v>
      </c>
      <c r="F40" s="66">
        <f t="shared" si="3"/>
        <v>0</v>
      </c>
      <c r="G40" s="66">
        <f t="shared" si="3"/>
        <v>0</v>
      </c>
      <c r="H40" s="66">
        <f t="shared" si="3"/>
        <v>0</v>
      </c>
      <c r="I40" s="66">
        <f t="shared" si="3"/>
        <v>0</v>
      </c>
      <c r="J40" s="66">
        <v>0</v>
      </c>
      <c r="K40" s="66">
        <f>K15-K39</f>
        <v>0</v>
      </c>
      <c r="L40" s="66">
        <f>L15-L39</f>
        <v>0</v>
      </c>
      <c r="M40" s="66">
        <f>M15-M39</f>
        <v>0</v>
      </c>
      <c r="N40" s="66">
        <f>N15-N39</f>
        <v>0.306290065869689</v>
      </c>
      <c r="Y40" s="174" t="s">
        <v>244</v>
      </c>
      <c r="AB40" s="265"/>
      <c r="AD40" s="260"/>
    </row>
    <row r="41" spans="2:30" ht="16.5" thickBot="1" thickTop="1">
      <c r="B41" s="22"/>
      <c r="C41" s="66"/>
      <c r="D41" s="38"/>
      <c r="G41" s="22"/>
      <c r="H41" s="22"/>
      <c r="I41" s="22"/>
      <c r="J41" s="22"/>
      <c r="K41" s="22"/>
      <c r="L41" s="22"/>
      <c r="AB41" s="262"/>
      <c r="AD41" s="260"/>
    </row>
    <row r="42" spans="2:23" ht="15" thickTop="1">
      <c r="B42" s="22"/>
      <c r="C42" s="22"/>
      <c r="D42" s="22"/>
      <c r="G42" s="22"/>
      <c r="H42" s="146"/>
      <c r="I42" s="146"/>
      <c r="J42" s="146"/>
      <c r="K42" s="219"/>
      <c r="L42" s="22"/>
      <c r="M42" s="109"/>
      <c r="W42" s="268" t="s">
        <v>237</v>
      </c>
    </row>
    <row r="43" spans="2:31" ht="14.25">
      <c r="B43" s="22"/>
      <c r="C43" s="22"/>
      <c r="D43" s="22"/>
      <c r="G43" s="22"/>
      <c r="H43" s="227"/>
      <c r="I43" s="227"/>
      <c r="J43" s="227"/>
      <c r="K43" s="229"/>
      <c r="L43" s="22"/>
      <c r="W43" s="258" t="s">
        <v>235</v>
      </c>
      <c r="AB43" s="260">
        <v>736069.37</v>
      </c>
      <c r="AD43" s="260">
        <v>728893</v>
      </c>
      <c r="AE43" s="258" t="s">
        <v>245</v>
      </c>
    </row>
    <row r="44" spans="2:31" ht="14.25">
      <c r="B44" s="22"/>
      <c r="C44" s="22"/>
      <c r="D44" s="22"/>
      <c r="G44" s="22"/>
      <c r="H44" s="228"/>
      <c r="I44" s="228"/>
      <c r="J44" s="228"/>
      <c r="K44" s="228"/>
      <c r="L44" s="22"/>
      <c r="W44" s="258" t="s">
        <v>236</v>
      </c>
      <c r="AB44" s="260">
        <v>1415258.18</v>
      </c>
      <c r="AD44" s="260">
        <v>160030</v>
      </c>
      <c r="AE44" s="258" t="s">
        <v>246</v>
      </c>
    </row>
    <row r="45" spans="2:31" ht="15">
      <c r="B45" s="22"/>
      <c r="C45" s="22"/>
      <c r="D45" s="22"/>
      <c r="F45" s="106"/>
      <c r="G45" s="106"/>
      <c r="H45" s="22"/>
      <c r="I45" s="22"/>
      <c r="J45" s="22"/>
      <c r="K45" s="22"/>
      <c r="L45" s="22"/>
      <c r="W45" s="258" t="s">
        <v>243</v>
      </c>
      <c r="AB45" s="260">
        <v>14628</v>
      </c>
      <c r="AD45" s="260">
        <v>56932</v>
      </c>
      <c r="AE45" s="258" t="s">
        <v>247</v>
      </c>
    </row>
    <row r="46" spans="2:30" ht="14.25">
      <c r="B46" s="22"/>
      <c r="C46" s="22"/>
      <c r="D46" s="22"/>
      <c r="G46" s="22"/>
      <c r="H46" s="22"/>
      <c r="I46" s="22"/>
      <c r="J46" s="22"/>
      <c r="K46" s="22"/>
      <c r="L46" s="22"/>
      <c r="M46" s="21" t="s">
        <v>121</v>
      </c>
      <c r="W46" s="258" t="s">
        <v>238</v>
      </c>
      <c r="Y46" s="258" t="s">
        <v>239</v>
      </c>
      <c r="AB46" s="260">
        <v>67687.87</v>
      </c>
      <c r="AD46" s="260"/>
    </row>
    <row r="47" spans="3:30" ht="14.25">
      <c r="C47" s="91"/>
      <c r="D47" s="22" t="s">
        <v>168</v>
      </c>
      <c r="G47" s="22"/>
      <c r="H47" s="22" t="s">
        <v>181</v>
      </c>
      <c r="I47" s="22"/>
      <c r="J47" s="146">
        <f>SUM(J49*J48)</f>
        <v>12600</v>
      </c>
      <c r="K47" s="146">
        <f>SUM(K49*K48)</f>
        <v>8800</v>
      </c>
      <c r="L47" s="146"/>
      <c r="M47" s="219">
        <f>SUM(M49*M48)</f>
        <v>0</v>
      </c>
      <c r="N47" s="22"/>
      <c r="O47" s="109">
        <f>SUM(J47:M47)</f>
        <v>21400</v>
      </c>
      <c r="W47" s="258" t="s">
        <v>240</v>
      </c>
      <c r="Y47" s="258" t="s">
        <v>147</v>
      </c>
      <c r="AB47" s="260">
        <v>237511.71</v>
      </c>
      <c r="AD47" s="260"/>
    </row>
    <row r="48" spans="3:30" ht="14.25">
      <c r="C48" s="91"/>
      <c r="D48" s="145"/>
      <c r="E48" s="145"/>
      <c r="G48" s="22"/>
      <c r="H48" s="22" t="s">
        <v>115</v>
      </c>
      <c r="I48" s="22"/>
      <c r="J48" s="272">
        <v>70</v>
      </c>
      <c r="K48" s="272">
        <v>40</v>
      </c>
      <c r="L48" s="272"/>
      <c r="M48" s="272">
        <v>0</v>
      </c>
      <c r="N48" s="22"/>
      <c r="W48" s="258" t="s">
        <v>241</v>
      </c>
      <c r="Y48" s="258" t="s">
        <v>242</v>
      </c>
      <c r="AB48" s="269">
        <v>160838.93</v>
      </c>
      <c r="AD48" s="269"/>
    </row>
    <row r="49" spans="3:30" ht="15">
      <c r="C49" s="91"/>
      <c r="D49" s="22"/>
      <c r="G49" s="22"/>
      <c r="H49" s="22" t="s">
        <v>117</v>
      </c>
      <c r="I49" s="22"/>
      <c r="J49" s="271">
        <v>180</v>
      </c>
      <c r="K49" s="271">
        <v>220</v>
      </c>
      <c r="L49" s="271"/>
      <c r="M49" s="271">
        <v>440</v>
      </c>
      <c r="N49" s="22"/>
      <c r="AA49" s="267" t="s">
        <v>56</v>
      </c>
      <c r="AB49" s="262">
        <f>SUM(AB43:AB48)</f>
        <v>2631994.06</v>
      </c>
      <c r="AD49" s="262">
        <f>SUM(AD43:AD48)</f>
        <v>945855</v>
      </c>
    </row>
    <row r="50" spans="4:30" ht="15">
      <c r="D50" s="22"/>
      <c r="G50" s="22"/>
      <c r="H50" s="106"/>
      <c r="I50" s="106"/>
      <c r="J50" s="22"/>
      <c r="K50" s="22"/>
      <c r="L50" s="22"/>
      <c r="M50" s="22"/>
      <c r="N50" s="22"/>
      <c r="AD50" s="260"/>
    </row>
    <row r="51" spans="4:14" ht="14.25">
      <c r="D51" s="22"/>
      <c r="G51" s="22"/>
      <c r="H51" s="22" t="s">
        <v>180</v>
      </c>
      <c r="I51" s="22"/>
      <c r="J51" s="22"/>
      <c r="K51" s="22"/>
      <c r="L51" s="22"/>
      <c r="M51" s="22"/>
      <c r="N51" s="22"/>
    </row>
    <row r="52" spans="4:14" ht="14.25">
      <c r="D52" s="22"/>
      <c r="E52" s="145"/>
      <c r="G52" s="22"/>
      <c r="H52" s="22"/>
      <c r="I52" s="22"/>
      <c r="J52" s="22"/>
      <c r="K52" s="22"/>
      <c r="L52" s="22"/>
      <c r="M52" s="22"/>
      <c r="N52" s="22"/>
    </row>
    <row r="53" spans="4:14" ht="14.25">
      <c r="D53" s="22"/>
      <c r="G53" s="22"/>
      <c r="H53" s="22"/>
      <c r="I53" s="22"/>
      <c r="J53" s="22"/>
      <c r="K53" s="22"/>
      <c r="L53" s="22"/>
      <c r="M53" s="22"/>
      <c r="N53" s="22"/>
    </row>
    <row r="54" spans="2:6" ht="14.25">
      <c r="B54" s="147"/>
      <c r="E54" s="20"/>
      <c r="F54" s="20"/>
    </row>
    <row r="55" spans="5:30" ht="14.25">
      <c r="E55" s="20"/>
      <c r="F55" s="20"/>
      <c r="AD55" s="260"/>
    </row>
    <row r="56" spans="5:6" ht="14.25">
      <c r="E56" s="20"/>
      <c r="F56" s="20"/>
    </row>
    <row r="57" spans="5:30" ht="14.25">
      <c r="E57" s="20"/>
      <c r="F57" s="20"/>
      <c r="AD57" s="260"/>
    </row>
    <row r="58" spans="5:6" ht="14.25">
      <c r="E58" s="20"/>
      <c r="F58" s="20"/>
    </row>
    <row r="59" spans="5:6" ht="14.25">
      <c r="E59" s="20"/>
      <c r="F59" s="20"/>
    </row>
    <row r="60" spans="5:6" ht="14.25">
      <c r="E60" s="20"/>
      <c r="F60" s="20"/>
    </row>
    <row r="61" spans="5:6" ht="14.25">
      <c r="E61" s="20"/>
      <c r="F61" s="20"/>
    </row>
    <row r="62" spans="5:6" ht="14.25">
      <c r="E62" s="20"/>
      <c r="F62" s="20"/>
    </row>
    <row r="63" spans="5:6" ht="14.25">
      <c r="E63" s="20"/>
      <c r="F63" s="20"/>
    </row>
    <row r="64" spans="5:6" ht="14.25">
      <c r="E64" s="20"/>
      <c r="F64" s="20"/>
    </row>
    <row r="65" spans="5:6" ht="14.25">
      <c r="E65" s="20"/>
      <c r="F65" s="20"/>
    </row>
    <row r="66" spans="5:6" ht="14.25">
      <c r="E66" s="20"/>
      <c r="F66" s="20"/>
    </row>
    <row r="67" spans="5:6" ht="14.25">
      <c r="E67" s="20"/>
      <c r="F67" s="20"/>
    </row>
    <row r="68" spans="5:6" ht="14.25">
      <c r="E68" s="20"/>
      <c r="F68" s="20"/>
    </row>
    <row r="69" spans="5:6" ht="14.25">
      <c r="E69" s="20"/>
      <c r="F69" s="20"/>
    </row>
    <row r="70" spans="5:6" ht="14.25">
      <c r="E70" s="20"/>
      <c r="F70" s="20"/>
    </row>
    <row r="71" spans="5:6" ht="14.25">
      <c r="E71" s="20"/>
      <c r="F71" s="20"/>
    </row>
    <row r="72" spans="5:6" ht="14.25">
      <c r="E72" s="20"/>
      <c r="F72" s="20"/>
    </row>
    <row r="73" spans="5:6" ht="14.25">
      <c r="E73" s="20"/>
      <c r="F73" s="20"/>
    </row>
    <row r="74" spans="5:6" ht="14.25">
      <c r="E74" s="20"/>
      <c r="F74" s="20"/>
    </row>
    <row r="75" spans="5:6" ht="14.25">
      <c r="E75" s="20"/>
      <c r="F75" s="20"/>
    </row>
    <row r="76" spans="5:6" ht="14.25">
      <c r="E76" s="20"/>
      <c r="F76" s="20"/>
    </row>
    <row r="77" spans="5:6" ht="14.25">
      <c r="E77" s="20"/>
      <c r="F77" s="20"/>
    </row>
    <row r="78" spans="5:6" ht="14.25">
      <c r="E78" s="20"/>
      <c r="F78" s="20"/>
    </row>
    <row r="79" spans="5:6" ht="14.25">
      <c r="E79" s="20"/>
      <c r="F79" s="20"/>
    </row>
    <row r="80" spans="5:6" ht="14.25">
      <c r="E80" s="20"/>
      <c r="F80" s="20"/>
    </row>
    <row r="81" spans="5:6" ht="14.25">
      <c r="E81" s="20"/>
      <c r="F81" s="20"/>
    </row>
    <row r="82" spans="5:6" ht="14.25">
      <c r="E82" s="20"/>
      <c r="F82" s="20"/>
    </row>
    <row r="83" spans="5:6" ht="14.25">
      <c r="E83" s="20"/>
      <c r="F83" s="20"/>
    </row>
    <row r="84" spans="5:6" ht="14.25">
      <c r="E84" s="20"/>
      <c r="F84" s="20"/>
    </row>
    <row r="85" spans="5:6" ht="14.25">
      <c r="E85" s="20"/>
      <c r="F85" s="20"/>
    </row>
    <row r="86" spans="5:6" ht="14.25">
      <c r="E86" s="20"/>
      <c r="F86" s="20"/>
    </row>
    <row r="87" spans="5:6" ht="14.25">
      <c r="E87" s="20"/>
      <c r="F87" s="20"/>
    </row>
    <row r="88" spans="5:6" ht="14.25">
      <c r="E88" s="20"/>
      <c r="F88" s="20"/>
    </row>
    <row r="89" spans="5:6" ht="14.25">
      <c r="E89" s="20"/>
      <c r="F89" s="20"/>
    </row>
    <row r="90" spans="5:6" ht="14.25">
      <c r="E90" s="20"/>
      <c r="F90" s="20"/>
    </row>
    <row r="91" spans="5:6" ht="14.25">
      <c r="E91" s="20"/>
      <c r="F91" s="20"/>
    </row>
    <row r="92" spans="5:6" ht="14.25">
      <c r="E92" s="20"/>
      <c r="F92" s="20"/>
    </row>
    <row r="93" spans="5:6" ht="14.25">
      <c r="E93" s="20"/>
      <c r="F93" s="20"/>
    </row>
    <row r="94" spans="5:6" ht="14.25">
      <c r="E94" s="20"/>
      <c r="F94" s="20"/>
    </row>
    <row r="95" spans="5:6" ht="14.25">
      <c r="E95" s="20"/>
      <c r="F95" s="20"/>
    </row>
    <row r="96" spans="5:6" ht="14.25">
      <c r="E96" s="20"/>
      <c r="F96" s="20"/>
    </row>
    <row r="97" spans="5:6" ht="14.25">
      <c r="E97" s="20"/>
      <c r="F97" s="20"/>
    </row>
    <row r="98" spans="5:6" ht="14.25">
      <c r="E98" s="20"/>
      <c r="F98" s="20"/>
    </row>
    <row r="99" spans="5:6" ht="14.25">
      <c r="E99" s="20"/>
      <c r="F99" s="20"/>
    </row>
    <row r="100" spans="5:6" ht="14.25">
      <c r="E100" s="20"/>
      <c r="F100" s="20"/>
    </row>
    <row r="101" spans="5:6" ht="14.25">
      <c r="E101" s="20"/>
      <c r="F101" s="20"/>
    </row>
    <row r="102" spans="5:6" ht="14.25">
      <c r="E102" s="20"/>
      <c r="F102" s="20"/>
    </row>
    <row r="103" spans="5:6" ht="14.25">
      <c r="E103" s="20"/>
      <c r="F103" s="20"/>
    </row>
    <row r="104" spans="5:6" ht="14.25">
      <c r="E104" s="20"/>
      <c r="F104" s="20"/>
    </row>
    <row r="105" spans="5:6" ht="14.25">
      <c r="E105" s="20"/>
      <c r="F105" s="20"/>
    </row>
    <row r="106" spans="5:6" ht="14.25">
      <c r="E106" s="20"/>
      <c r="F106" s="20"/>
    </row>
    <row r="107" spans="5:6" ht="14.25">
      <c r="E107" s="20"/>
      <c r="F107" s="20"/>
    </row>
    <row r="108" spans="5:6" ht="14.25">
      <c r="E108" s="20"/>
      <c r="F108" s="20"/>
    </row>
    <row r="109" spans="5:6" ht="14.25">
      <c r="E109" s="20"/>
      <c r="F109" s="20"/>
    </row>
    <row r="110" spans="5:6" ht="14.25">
      <c r="E110" s="20"/>
      <c r="F110" s="20"/>
    </row>
    <row r="111" spans="5:6" ht="14.25">
      <c r="E111" s="20"/>
      <c r="F111" s="20"/>
    </row>
    <row r="112" spans="5:6" ht="14.25">
      <c r="E112" s="20"/>
      <c r="F112" s="20"/>
    </row>
    <row r="113" spans="5:6" ht="14.25">
      <c r="E113" s="20"/>
      <c r="F113" s="20"/>
    </row>
    <row r="114" spans="5:6" ht="14.25">
      <c r="E114" s="20"/>
      <c r="F114" s="20"/>
    </row>
    <row r="115" spans="5:6" ht="14.25">
      <c r="E115" s="20"/>
      <c r="F115" s="20"/>
    </row>
    <row r="116" spans="5:6" ht="14.25">
      <c r="E116" s="20"/>
      <c r="F116" s="20"/>
    </row>
    <row r="117" spans="5:6" ht="14.25">
      <c r="E117" s="20"/>
      <c r="F117" s="20"/>
    </row>
    <row r="118" spans="5:6" ht="14.25">
      <c r="E118" s="20"/>
      <c r="F118" s="20"/>
    </row>
    <row r="119" spans="5:6" ht="14.25">
      <c r="E119" s="20"/>
      <c r="F119" s="20"/>
    </row>
    <row r="120" spans="5:6" ht="14.25">
      <c r="E120" s="20"/>
      <c r="F120" s="20"/>
    </row>
    <row r="121" spans="5:6" ht="14.25">
      <c r="E121" s="20"/>
      <c r="F121" s="20"/>
    </row>
    <row r="122" spans="5:6" ht="14.25">
      <c r="E122" s="20"/>
      <c r="F122" s="20"/>
    </row>
    <row r="123" spans="5:6" ht="14.25">
      <c r="E123" s="20"/>
      <c r="F123" s="20"/>
    </row>
    <row r="124" spans="5:6" ht="14.25">
      <c r="E124" s="20"/>
      <c r="F124" s="20"/>
    </row>
    <row r="125" spans="5:6" ht="14.25">
      <c r="E125" s="20"/>
      <c r="F125" s="20"/>
    </row>
    <row r="126" spans="5:6" ht="14.25">
      <c r="E126" s="20"/>
      <c r="F126" s="20"/>
    </row>
    <row r="127" spans="5:6" ht="14.25">
      <c r="E127" s="20"/>
      <c r="F127" s="20"/>
    </row>
    <row r="128" spans="5:6" ht="14.25">
      <c r="E128" s="20"/>
      <c r="F128" s="20"/>
    </row>
    <row r="129" spans="5:6" ht="14.25">
      <c r="E129" s="20"/>
      <c r="F129" s="20"/>
    </row>
    <row r="130" spans="5:6" ht="14.25">
      <c r="E130" s="20"/>
      <c r="F130" s="20"/>
    </row>
    <row r="131" spans="5:6" ht="14.25">
      <c r="E131" s="20"/>
      <c r="F131" s="20"/>
    </row>
    <row r="132" spans="5:6" ht="14.25">
      <c r="E132" s="20"/>
      <c r="F132" s="20"/>
    </row>
    <row r="133" spans="5:6" ht="14.25">
      <c r="E133" s="20"/>
      <c r="F133" s="20"/>
    </row>
    <row r="134" spans="5:6" ht="14.25">
      <c r="E134" s="20"/>
      <c r="F134" s="20"/>
    </row>
    <row r="135" spans="5:6" ht="14.25">
      <c r="E135" s="20"/>
      <c r="F135" s="20"/>
    </row>
    <row r="136" spans="5:6" ht="14.25">
      <c r="E136" s="20"/>
      <c r="F136" s="20"/>
    </row>
    <row r="137" spans="5:6" ht="14.25">
      <c r="E137" s="20"/>
      <c r="F137" s="20"/>
    </row>
    <row r="138" spans="5:6" ht="14.25">
      <c r="E138" s="20"/>
      <c r="F138" s="20"/>
    </row>
    <row r="139" spans="5:6" ht="14.25">
      <c r="E139" s="20"/>
      <c r="F139" s="20"/>
    </row>
    <row r="140" spans="5:6" ht="14.25">
      <c r="E140" s="20"/>
      <c r="F140" s="20"/>
    </row>
    <row r="141" spans="5:6" ht="14.25">
      <c r="E141" s="20"/>
      <c r="F141" s="20"/>
    </row>
    <row r="142" spans="5:6" ht="14.25">
      <c r="E142" s="20"/>
      <c r="F142" s="20"/>
    </row>
    <row r="143" spans="5:6" ht="14.25">
      <c r="E143" s="20"/>
      <c r="F143" s="20"/>
    </row>
    <row r="144" spans="5:6" ht="14.25">
      <c r="E144" s="20"/>
      <c r="F144" s="20"/>
    </row>
    <row r="145" spans="5:6" ht="14.25">
      <c r="E145" s="20"/>
      <c r="F145" s="20"/>
    </row>
    <row r="146" spans="5:6" ht="14.25">
      <c r="E146" s="20"/>
      <c r="F146" s="20"/>
    </row>
    <row r="147" spans="5:6" ht="14.25">
      <c r="E147" s="20"/>
      <c r="F147" s="20"/>
    </row>
    <row r="148" spans="5:6" ht="14.25">
      <c r="E148" s="20"/>
      <c r="F148" s="20"/>
    </row>
    <row r="149" spans="5:6" ht="14.25">
      <c r="E149" s="20"/>
      <c r="F149" s="20"/>
    </row>
    <row r="150" spans="5:6" ht="14.25">
      <c r="E150" s="20"/>
      <c r="F150" s="20"/>
    </row>
    <row r="151" spans="5:6" ht="14.25">
      <c r="E151" s="20"/>
      <c r="F151" s="20"/>
    </row>
    <row r="152" spans="5:6" ht="14.25">
      <c r="E152" s="20"/>
      <c r="F152" s="20"/>
    </row>
    <row r="153" spans="5:6" ht="14.25">
      <c r="E153" s="20"/>
      <c r="F153" s="20"/>
    </row>
    <row r="154" spans="5:6" ht="14.25">
      <c r="E154" s="20"/>
      <c r="F154" s="20"/>
    </row>
    <row r="155" spans="5:6" ht="14.25">
      <c r="E155" s="20"/>
      <c r="F155" s="20"/>
    </row>
    <row r="156" spans="5:6" ht="14.25">
      <c r="E156" s="20"/>
      <c r="F156" s="20"/>
    </row>
    <row r="157" spans="5:6" ht="14.25">
      <c r="E157" s="20"/>
      <c r="F157" s="20"/>
    </row>
    <row r="158" spans="5:6" ht="14.25">
      <c r="E158" s="20"/>
      <c r="F158" s="20"/>
    </row>
    <row r="159" spans="5:6" ht="14.25">
      <c r="E159" s="20"/>
      <c r="F159" s="20"/>
    </row>
    <row r="160" spans="5:6" ht="14.25">
      <c r="E160" s="20"/>
      <c r="F160" s="20"/>
    </row>
    <row r="161" spans="5:6" ht="14.25">
      <c r="E161" s="20"/>
      <c r="F161" s="20"/>
    </row>
    <row r="162" spans="5:6" ht="14.25">
      <c r="E162" s="20"/>
      <c r="F162" s="20"/>
    </row>
    <row r="163" spans="5:6" ht="14.25">
      <c r="E163" s="20"/>
      <c r="F163" s="20"/>
    </row>
    <row r="164" spans="5:6" ht="14.25">
      <c r="E164" s="20"/>
      <c r="F164" s="20"/>
    </row>
    <row r="165" spans="5:6" ht="14.25">
      <c r="E165" s="20"/>
      <c r="F165" s="20"/>
    </row>
    <row r="166" spans="5:6" ht="14.25">
      <c r="E166" s="20"/>
      <c r="F166" s="20"/>
    </row>
    <row r="167" spans="5:6" ht="14.25">
      <c r="E167" s="20"/>
      <c r="F167" s="20"/>
    </row>
    <row r="168" spans="5:6" ht="14.25">
      <c r="E168" s="20"/>
      <c r="F168" s="20"/>
    </row>
    <row r="169" spans="5:6" ht="14.25">
      <c r="E169" s="20"/>
      <c r="F169" s="20"/>
    </row>
    <row r="170" spans="5:6" ht="14.25">
      <c r="E170" s="20"/>
      <c r="F170" s="20"/>
    </row>
    <row r="171" spans="5:6" ht="14.25">
      <c r="E171" s="20"/>
      <c r="F171" s="20"/>
    </row>
    <row r="172" spans="5:6" ht="14.25">
      <c r="E172" s="20"/>
      <c r="F172" s="20"/>
    </row>
    <row r="173" spans="5:6" ht="14.25">
      <c r="E173" s="20"/>
      <c r="F173" s="20"/>
    </row>
    <row r="174" spans="5:6" ht="14.25">
      <c r="E174" s="20"/>
      <c r="F174" s="20"/>
    </row>
    <row r="175" spans="5:6" ht="14.25">
      <c r="E175" s="20"/>
      <c r="F175" s="20"/>
    </row>
    <row r="176" spans="5:6" ht="14.25">
      <c r="E176" s="20"/>
      <c r="F176" s="20"/>
    </row>
    <row r="177" spans="5:6" ht="14.25">
      <c r="E177" s="20"/>
      <c r="F177" s="20"/>
    </row>
    <row r="178" spans="5:6" ht="14.25">
      <c r="E178" s="20"/>
      <c r="F178" s="20"/>
    </row>
    <row r="179" spans="5:6" ht="14.25">
      <c r="E179" s="20"/>
      <c r="F179" s="20"/>
    </row>
    <row r="180" spans="5:6" ht="14.25">
      <c r="E180" s="20"/>
      <c r="F180" s="20"/>
    </row>
    <row r="181" spans="5:6" ht="14.25">
      <c r="E181" s="20"/>
      <c r="F181" s="20"/>
    </row>
    <row r="182" spans="5:6" ht="14.25">
      <c r="E182" s="20"/>
      <c r="F182" s="20"/>
    </row>
    <row r="183" spans="5:6" ht="14.25">
      <c r="E183" s="20"/>
      <c r="F183" s="20"/>
    </row>
    <row r="184" spans="5:6" ht="14.25">
      <c r="E184" s="20"/>
      <c r="F184" s="20"/>
    </row>
    <row r="185" spans="5:6" ht="14.25">
      <c r="E185" s="20"/>
      <c r="F185" s="20"/>
    </row>
    <row r="186" spans="5:6" ht="14.25">
      <c r="E186" s="20"/>
      <c r="F186" s="20"/>
    </row>
    <row r="187" spans="5:6" ht="14.25">
      <c r="E187" s="20"/>
      <c r="F187" s="20"/>
    </row>
    <row r="188" spans="5:6" ht="14.25">
      <c r="E188" s="20"/>
      <c r="F188" s="20"/>
    </row>
    <row r="189" spans="5:6" ht="14.25">
      <c r="E189" s="20"/>
      <c r="F189" s="20"/>
    </row>
    <row r="190" spans="5:6" ht="14.25">
      <c r="E190" s="20"/>
      <c r="F190" s="20"/>
    </row>
    <row r="191" spans="5:6" ht="14.25">
      <c r="E191" s="20"/>
      <c r="F191" s="20"/>
    </row>
    <row r="192" spans="5:6" ht="14.25">
      <c r="E192" s="20"/>
      <c r="F192" s="20"/>
    </row>
    <row r="193" spans="5:6" ht="14.25">
      <c r="E193" s="20"/>
      <c r="F193" s="20"/>
    </row>
    <row r="194" spans="5:6" ht="14.25">
      <c r="E194" s="20"/>
      <c r="F194" s="20"/>
    </row>
    <row r="195" spans="5:6" ht="14.25">
      <c r="E195" s="20"/>
      <c r="F195" s="20"/>
    </row>
    <row r="196" spans="5:6" ht="14.25">
      <c r="E196" s="20"/>
      <c r="F196" s="20"/>
    </row>
    <row r="197" spans="5:6" ht="14.25">
      <c r="E197" s="20"/>
      <c r="F197" s="20"/>
    </row>
    <row r="198" spans="5:6" ht="14.25">
      <c r="E198" s="20"/>
      <c r="F198" s="20"/>
    </row>
    <row r="199" spans="5:6" ht="14.25">
      <c r="E199" s="20"/>
      <c r="F199" s="20"/>
    </row>
    <row r="200" spans="5:6" ht="14.25">
      <c r="E200" s="20"/>
      <c r="F200" s="20"/>
    </row>
    <row r="201" spans="5:6" ht="14.25">
      <c r="E201" s="20"/>
      <c r="F201" s="20"/>
    </row>
    <row r="202" spans="5:6" ht="14.25">
      <c r="E202" s="20"/>
      <c r="F202" s="20"/>
    </row>
    <row r="203" spans="5:6" ht="14.25">
      <c r="E203" s="20"/>
      <c r="F203" s="20"/>
    </row>
    <row r="204" spans="5:6" ht="14.25">
      <c r="E204" s="20"/>
      <c r="F204" s="20"/>
    </row>
    <row r="205" spans="5:6" ht="14.25">
      <c r="E205" s="20"/>
      <c r="F205" s="20"/>
    </row>
    <row r="206" spans="5:6" ht="14.25">
      <c r="E206" s="20"/>
      <c r="F206" s="20"/>
    </row>
    <row r="207" spans="5:6" ht="14.25">
      <c r="E207" s="20"/>
      <c r="F207" s="20"/>
    </row>
    <row r="208" spans="5:6" ht="14.25">
      <c r="E208" s="20"/>
      <c r="F208" s="20"/>
    </row>
    <row r="209" spans="5:6" ht="14.25">
      <c r="E209" s="20"/>
      <c r="F209" s="20"/>
    </row>
    <row r="210" spans="5:6" ht="14.25">
      <c r="E210" s="20"/>
      <c r="F210" s="20"/>
    </row>
    <row r="211" spans="5:6" ht="14.25">
      <c r="E211" s="20"/>
      <c r="F211" s="20"/>
    </row>
    <row r="212" spans="5:6" ht="14.25">
      <c r="E212" s="20"/>
      <c r="F212" s="20"/>
    </row>
    <row r="213" spans="5:6" ht="14.25">
      <c r="E213" s="20"/>
      <c r="F213" s="20"/>
    </row>
    <row r="214" spans="5:6" ht="14.25">
      <c r="E214" s="20"/>
      <c r="F214" s="20"/>
    </row>
    <row r="215" spans="5:6" ht="14.25">
      <c r="E215" s="20"/>
      <c r="F215" s="20"/>
    </row>
    <row r="216" spans="5:6" ht="14.25">
      <c r="E216" s="20"/>
      <c r="F216" s="20"/>
    </row>
    <row r="217" spans="5:6" ht="14.25">
      <c r="E217" s="20"/>
      <c r="F217" s="20"/>
    </row>
    <row r="218" spans="5:6" ht="14.25">
      <c r="E218" s="20"/>
      <c r="F218" s="20"/>
    </row>
    <row r="219" spans="5:6" ht="14.25">
      <c r="E219" s="20"/>
      <c r="F219" s="20"/>
    </row>
    <row r="220" spans="5:6" ht="14.25">
      <c r="E220" s="20"/>
      <c r="F220" s="20"/>
    </row>
    <row r="221" spans="5:6" ht="14.25">
      <c r="E221" s="20"/>
      <c r="F221" s="20"/>
    </row>
    <row r="222" spans="5:6" ht="14.25">
      <c r="E222" s="20"/>
      <c r="F222" s="20"/>
    </row>
    <row r="223" spans="5:6" ht="14.25">
      <c r="E223" s="20"/>
      <c r="F223" s="20"/>
    </row>
    <row r="224" spans="5:6" ht="14.25">
      <c r="E224" s="20"/>
      <c r="F224" s="20"/>
    </row>
    <row r="225" spans="5:6" ht="14.25">
      <c r="E225" s="20"/>
      <c r="F225" s="20"/>
    </row>
    <row r="226" spans="5:6" ht="14.25">
      <c r="E226" s="20"/>
      <c r="F226" s="20"/>
    </row>
    <row r="227" spans="5:6" ht="14.25">
      <c r="E227" s="20"/>
      <c r="F227" s="20"/>
    </row>
    <row r="228" spans="5:6" ht="14.25">
      <c r="E228" s="20"/>
      <c r="F228" s="20"/>
    </row>
    <row r="229" spans="5:6" ht="14.25">
      <c r="E229" s="20"/>
      <c r="F229" s="20"/>
    </row>
    <row r="230" spans="5:6" ht="14.25">
      <c r="E230" s="20"/>
      <c r="F230" s="20"/>
    </row>
    <row r="231" spans="5:6" ht="14.25">
      <c r="E231" s="20"/>
      <c r="F231" s="20"/>
    </row>
    <row r="232" spans="5:6" ht="14.25">
      <c r="E232" s="20"/>
      <c r="F232" s="20"/>
    </row>
    <row r="233" spans="5:6" ht="14.25">
      <c r="E233" s="20"/>
      <c r="F233" s="20"/>
    </row>
    <row r="234" spans="5:6" ht="14.25">
      <c r="E234" s="20"/>
      <c r="F234" s="20"/>
    </row>
    <row r="235" spans="5:6" ht="14.25">
      <c r="E235" s="20"/>
      <c r="F235" s="20"/>
    </row>
    <row r="236" spans="5:6" ht="14.25">
      <c r="E236" s="20"/>
      <c r="F236" s="20"/>
    </row>
    <row r="237" spans="5:6" ht="14.25">
      <c r="E237" s="20"/>
      <c r="F237" s="20"/>
    </row>
    <row r="238" spans="5:6" ht="14.25">
      <c r="E238" s="20"/>
      <c r="F238" s="20"/>
    </row>
    <row r="239" spans="5:6" ht="14.25">
      <c r="E239" s="20"/>
      <c r="F239" s="20"/>
    </row>
    <row r="240" spans="5:6" ht="14.25">
      <c r="E240" s="20"/>
      <c r="F240" s="20"/>
    </row>
    <row r="241" spans="5:6" ht="14.25">
      <c r="E241" s="20"/>
      <c r="F241" s="20"/>
    </row>
    <row r="242" spans="5:6" ht="14.25">
      <c r="E242" s="20"/>
      <c r="F242" s="20"/>
    </row>
    <row r="243" spans="5:6" ht="14.25">
      <c r="E243" s="20"/>
      <c r="F243" s="20"/>
    </row>
    <row r="244" spans="5:6" ht="14.25">
      <c r="E244" s="20"/>
      <c r="F244" s="20"/>
    </row>
    <row r="245" spans="5:6" ht="14.25">
      <c r="E245" s="20"/>
      <c r="F245" s="20"/>
    </row>
    <row r="246" spans="5:6" ht="14.25">
      <c r="E246" s="20"/>
      <c r="F246" s="20"/>
    </row>
    <row r="247" spans="5:6" ht="14.25">
      <c r="E247" s="20"/>
      <c r="F247" s="20"/>
    </row>
    <row r="248" spans="5:6" ht="14.25">
      <c r="E248" s="20"/>
      <c r="F248" s="20"/>
    </row>
    <row r="249" spans="5:6" ht="14.25">
      <c r="E249" s="20"/>
      <c r="F249" s="20"/>
    </row>
    <row r="250" spans="5:6" ht="14.25">
      <c r="E250" s="20"/>
      <c r="F250" s="20"/>
    </row>
    <row r="251" spans="5:6" ht="14.25">
      <c r="E251" s="20"/>
      <c r="F251" s="20"/>
    </row>
    <row r="252" spans="5:6" ht="14.25">
      <c r="E252" s="20"/>
      <c r="F252" s="20"/>
    </row>
    <row r="253" spans="5:6" ht="14.25">
      <c r="E253" s="20"/>
      <c r="F253" s="20"/>
    </row>
    <row r="254" spans="5:6" ht="14.25">
      <c r="E254" s="20"/>
      <c r="F254" s="20"/>
    </row>
    <row r="255" spans="5:6" ht="14.25">
      <c r="E255" s="20"/>
      <c r="F255" s="20"/>
    </row>
    <row r="256" spans="5:6" ht="14.25">
      <c r="E256" s="20"/>
      <c r="F256" s="20"/>
    </row>
    <row r="257" spans="5:6" ht="14.25">
      <c r="E257" s="20"/>
      <c r="F257" s="20"/>
    </row>
    <row r="258" spans="5:6" ht="14.25">
      <c r="E258" s="20"/>
      <c r="F258" s="20"/>
    </row>
    <row r="259" spans="5:6" ht="14.25">
      <c r="E259" s="20"/>
      <c r="F259" s="20"/>
    </row>
    <row r="260" spans="5:6" ht="14.25">
      <c r="E260" s="20"/>
      <c r="F260" s="20"/>
    </row>
    <row r="261" spans="5:6" ht="14.25">
      <c r="E261" s="20"/>
      <c r="F261" s="20"/>
    </row>
    <row r="262" spans="5:6" ht="14.25">
      <c r="E262" s="20"/>
      <c r="F262" s="20"/>
    </row>
    <row r="263" spans="5:6" ht="14.25">
      <c r="E263" s="20"/>
      <c r="F263" s="20"/>
    </row>
    <row r="264" spans="5:6" ht="14.25">
      <c r="E264" s="20"/>
      <c r="F264" s="20"/>
    </row>
    <row r="265" spans="5:6" ht="14.25">
      <c r="E265" s="20"/>
      <c r="F265" s="20"/>
    </row>
    <row r="266" spans="5:6" ht="14.25">
      <c r="E266" s="20"/>
      <c r="F266" s="20"/>
    </row>
    <row r="267" spans="5:6" ht="14.25">
      <c r="E267" s="20"/>
      <c r="F267" s="20"/>
    </row>
    <row r="268" spans="5:6" ht="14.25">
      <c r="E268" s="20"/>
      <c r="F268" s="20"/>
    </row>
    <row r="269" spans="5:6" ht="14.25">
      <c r="E269" s="20"/>
      <c r="F269" s="20"/>
    </row>
    <row r="270" spans="5:6" ht="14.25">
      <c r="E270" s="20"/>
      <c r="F270" s="20"/>
    </row>
    <row r="271" spans="5:6" ht="14.25">
      <c r="E271" s="20"/>
      <c r="F271" s="20"/>
    </row>
    <row r="272" spans="5:6" ht="14.25">
      <c r="E272" s="20"/>
      <c r="F272" s="20"/>
    </row>
    <row r="273" spans="5:6" ht="14.25">
      <c r="E273" s="20"/>
      <c r="F273" s="20"/>
    </row>
    <row r="274" spans="5:6" ht="14.25">
      <c r="E274" s="20"/>
      <c r="F274" s="20"/>
    </row>
    <row r="275" spans="5:6" ht="14.25">
      <c r="E275" s="20"/>
      <c r="F275" s="20"/>
    </row>
    <row r="276" spans="5:6" ht="14.25">
      <c r="E276" s="20"/>
      <c r="F276" s="20"/>
    </row>
    <row r="277" spans="5:6" ht="14.25">
      <c r="E277" s="20"/>
      <c r="F277" s="20"/>
    </row>
    <row r="278" spans="5:6" ht="14.25">
      <c r="E278" s="20"/>
      <c r="F278" s="20"/>
    </row>
    <row r="279" spans="5:6" ht="14.25">
      <c r="E279" s="20"/>
      <c r="F279" s="20"/>
    </row>
    <row r="280" spans="5:6" ht="14.25">
      <c r="E280" s="20"/>
      <c r="F280" s="20"/>
    </row>
    <row r="281" spans="5:6" ht="14.25">
      <c r="E281" s="20"/>
      <c r="F281" s="20"/>
    </row>
    <row r="282" spans="5:6" ht="14.25">
      <c r="E282" s="20"/>
      <c r="F282" s="20"/>
    </row>
    <row r="283" spans="5:6" ht="14.25">
      <c r="E283" s="20"/>
      <c r="F283" s="20"/>
    </row>
    <row r="284" spans="5:6" ht="14.25">
      <c r="E284" s="20"/>
      <c r="F284" s="20"/>
    </row>
    <row r="285" spans="5:6" ht="14.25">
      <c r="E285" s="20"/>
      <c r="F285" s="20"/>
    </row>
    <row r="286" spans="5:6" ht="14.25">
      <c r="E286" s="20"/>
      <c r="F286" s="20"/>
    </row>
    <row r="287" spans="5:6" ht="14.25">
      <c r="E287" s="20"/>
      <c r="F287" s="20"/>
    </row>
    <row r="288" spans="5:6" ht="14.25">
      <c r="E288" s="20"/>
      <c r="F288" s="20"/>
    </row>
    <row r="289" spans="5:6" ht="14.25">
      <c r="E289" s="20"/>
      <c r="F289" s="20"/>
    </row>
    <row r="290" spans="5:6" ht="14.25">
      <c r="E290" s="20"/>
      <c r="F290" s="20"/>
    </row>
    <row r="291" spans="5:6" ht="14.25">
      <c r="E291" s="20"/>
      <c r="F291" s="20"/>
    </row>
    <row r="292" spans="5:6" ht="14.25">
      <c r="E292" s="20"/>
      <c r="F292" s="20"/>
    </row>
    <row r="293" spans="5:6" ht="14.25">
      <c r="E293" s="20"/>
      <c r="F293" s="20"/>
    </row>
    <row r="294" spans="5:6" ht="14.25">
      <c r="E294" s="20"/>
      <c r="F294" s="20"/>
    </row>
    <row r="295" spans="5:6" ht="14.25">
      <c r="E295" s="20"/>
      <c r="F295" s="20"/>
    </row>
    <row r="296" spans="5:6" ht="14.25">
      <c r="E296" s="20"/>
      <c r="F296" s="20"/>
    </row>
    <row r="297" spans="5:6" ht="14.25">
      <c r="E297" s="20"/>
      <c r="F297" s="20"/>
    </row>
    <row r="298" spans="5:6" ht="14.25">
      <c r="E298" s="20"/>
      <c r="F298" s="20"/>
    </row>
    <row r="299" spans="5:6" ht="14.25">
      <c r="E299" s="20"/>
      <c r="F299" s="20"/>
    </row>
    <row r="300" spans="5:6" ht="14.25">
      <c r="E300" s="20"/>
      <c r="F300" s="20"/>
    </row>
    <row r="301" spans="5:6" ht="14.25">
      <c r="E301" s="20"/>
      <c r="F301" s="20"/>
    </row>
    <row r="302" spans="5:6" ht="14.25">
      <c r="E302" s="20"/>
      <c r="F302" s="20"/>
    </row>
    <row r="303" spans="5:6" ht="14.25">
      <c r="E303" s="20"/>
      <c r="F303" s="20"/>
    </row>
    <row r="304" spans="5:6" ht="14.25">
      <c r="E304" s="20"/>
      <c r="F304" s="20"/>
    </row>
    <row r="305" spans="5:6" ht="14.25">
      <c r="E305" s="20"/>
      <c r="F305" s="20"/>
    </row>
    <row r="306" spans="5:6" ht="14.25">
      <c r="E306" s="20"/>
      <c r="F306" s="20"/>
    </row>
    <row r="307" spans="5:6" ht="14.25">
      <c r="E307" s="20"/>
      <c r="F307" s="20"/>
    </row>
    <row r="308" spans="5:6" ht="14.25">
      <c r="E308" s="20"/>
      <c r="F308" s="20"/>
    </row>
    <row r="309" spans="5:6" ht="14.25">
      <c r="E309" s="20"/>
      <c r="F309" s="20"/>
    </row>
    <row r="310" spans="5:6" ht="14.25">
      <c r="E310" s="20"/>
      <c r="F310" s="20"/>
    </row>
    <row r="311" spans="5:6" ht="14.25">
      <c r="E311" s="20"/>
      <c r="F311" s="20"/>
    </row>
    <row r="312" spans="5:6" ht="14.25">
      <c r="E312" s="20"/>
      <c r="F312" s="20"/>
    </row>
    <row r="313" spans="5:6" ht="14.25">
      <c r="E313" s="20"/>
      <c r="F313" s="20"/>
    </row>
    <row r="314" spans="5:6" ht="14.25">
      <c r="E314" s="20"/>
      <c r="F314" s="20"/>
    </row>
    <row r="315" spans="5:6" ht="14.25">
      <c r="E315" s="20"/>
      <c r="F315" s="20"/>
    </row>
    <row r="316" spans="5:6" ht="14.25">
      <c r="E316" s="20"/>
      <c r="F316" s="20"/>
    </row>
    <row r="317" spans="5:6" ht="14.25">
      <c r="E317" s="20"/>
      <c r="F317" s="20"/>
    </row>
    <row r="318" spans="5:6" ht="14.25">
      <c r="E318" s="20"/>
      <c r="F318" s="20"/>
    </row>
    <row r="319" spans="5:6" ht="14.25">
      <c r="E319" s="20"/>
      <c r="F319" s="20"/>
    </row>
    <row r="320" spans="5:6" ht="14.25">
      <c r="E320" s="20"/>
      <c r="F320" s="20"/>
    </row>
    <row r="321" spans="5:6" ht="14.25">
      <c r="E321" s="20"/>
      <c r="F321" s="20"/>
    </row>
    <row r="322" spans="5:6" ht="14.25">
      <c r="E322" s="20"/>
      <c r="F322" s="20"/>
    </row>
    <row r="323" spans="5:6" ht="14.25">
      <c r="E323" s="20"/>
      <c r="F323" s="20"/>
    </row>
    <row r="324" spans="5:6" ht="14.25">
      <c r="E324" s="20"/>
      <c r="F324" s="20"/>
    </row>
    <row r="325" spans="5:6" ht="14.25">
      <c r="E325" s="20"/>
      <c r="F325" s="20"/>
    </row>
    <row r="326" spans="5:6" ht="14.25">
      <c r="E326" s="20"/>
      <c r="F326" s="20"/>
    </row>
    <row r="327" spans="5:6" ht="14.25">
      <c r="E327" s="20"/>
      <c r="F327" s="20"/>
    </row>
    <row r="328" spans="5:6" ht="14.25">
      <c r="E328" s="20"/>
      <c r="F328" s="20"/>
    </row>
    <row r="329" spans="5:6" ht="14.25">
      <c r="E329" s="20"/>
      <c r="F329" s="20"/>
    </row>
    <row r="330" spans="5:6" ht="14.25">
      <c r="E330" s="20"/>
      <c r="F330" s="20"/>
    </row>
    <row r="331" spans="5:6" ht="14.25">
      <c r="E331" s="20"/>
      <c r="F331" s="20"/>
    </row>
    <row r="332" spans="5:6" ht="14.25">
      <c r="E332" s="20"/>
      <c r="F332" s="20"/>
    </row>
    <row r="333" spans="5:6" ht="14.25">
      <c r="E333" s="20"/>
      <c r="F333" s="20"/>
    </row>
    <row r="334" spans="5:6" ht="14.25">
      <c r="E334" s="20"/>
      <c r="F334" s="20"/>
    </row>
    <row r="335" spans="5:6" ht="14.25">
      <c r="E335" s="20"/>
      <c r="F335" s="20"/>
    </row>
    <row r="336" spans="5:6" ht="14.25">
      <c r="E336" s="20"/>
      <c r="F336" s="20"/>
    </row>
    <row r="337" spans="5:6" ht="14.25">
      <c r="E337" s="20"/>
      <c r="F337" s="20"/>
    </row>
    <row r="338" spans="5:6" ht="14.25">
      <c r="E338" s="20"/>
      <c r="F338" s="20"/>
    </row>
    <row r="339" spans="5:6" ht="14.25">
      <c r="E339" s="20"/>
      <c r="F339" s="20"/>
    </row>
    <row r="340" spans="5:6" ht="14.25">
      <c r="E340" s="20"/>
      <c r="F340" s="20"/>
    </row>
    <row r="341" spans="5:6" ht="14.25">
      <c r="E341" s="20"/>
      <c r="F341" s="20"/>
    </row>
    <row r="342" spans="5:6" ht="14.25">
      <c r="E342" s="20"/>
      <c r="F342" s="20"/>
    </row>
    <row r="343" spans="5:6" ht="14.25">
      <c r="E343" s="20"/>
      <c r="F343" s="20"/>
    </row>
    <row r="344" spans="5:6" ht="14.25">
      <c r="E344" s="20"/>
      <c r="F344" s="20"/>
    </row>
    <row r="345" spans="5:6" ht="14.25">
      <c r="E345" s="20"/>
      <c r="F345" s="20"/>
    </row>
    <row r="346" spans="5:6" ht="14.25">
      <c r="E346" s="20"/>
      <c r="F346" s="20"/>
    </row>
    <row r="347" spans="5:6" ht="14.25">
      <c r="E347" s="20"/>
      <c r="F347" s="20"/>
    </row>
    <row r="348" spans="5:6" ht="14.25">
      <c r="E348" s="20"/>
      <c r="F348" s="20"/>
    </row>
    <row r="349" spans="5:6" ht="14.25">
      <c r="E349" s="20"/>
      <c r="F349" s="20"/>
    </row>
    <row r="350" spans="5:6" ht="14.25">
      <c r="E350" s="20"/>
      <c r="F350" s="20"/>
    </row>
    <row r="351" spans="5:6" ht="14.25">
      <c r="E351" s="20"/>
      <c r="F351" s="20"/>
    </row>
    <row r="352" spans="5:6" ht="14.25">
      <c r="E352" s="20"/>
      <c r="F352" s="20"/>
    </row>
    <row r="353" spans="5:6" ht="14.25">
      <c r="E353" s="20"/>
      <c r="F353" s="20"/>
    </row>
    <row r="354" spans="5:6" ht="14.25">
      <c r="E354" s="20"/>
      <c r="F354" s="20"/>
    </row>
    <row r="355" spans="5:6" ht="14.25">
      <c r="E355" s="20"/>
      <c r="F355" s="20"/>
    </row>
    <row r="356" spans="5:6" ht="14.25">
      <c r="E356" s="20"/>
      <c r="F356" s="20"/>
    </row>
    <row r="357" spans="5:6" ht="14.25">
      <c r="E357" s="20"/>
      <c r="F357" s="20"/>
    </row>
    <row r="358" spans="5:6" ht="14.25">
      <c r="E358" s="20"/>
      <c r="F358" s="20"/>
    </row>
    <row r="359" spans="5:6" ht="14.25">
      <c r="E359" s="20"/>
      <c r="F359" s="20"/>
    </row>
    <row r="360" spans="5:6" ht="14.25">
      <c r="E360" s="20"/>
      <c r="F360" s="20"/>
    </row>
    <row r="361" spans="5:6" ht="14.25">
      <c r="E361" s="20"/>
      <c r="F361" s="20"/>
    </row>
    <row r="362" spans="5:6" ht="14.25">
      <c r="E362" s="20"/>
      <c r="F362" s="20"/>
    </row>
    <row r="363" spans="5:6" ht="14.25">
      <c r="E363" s="20"/>
      <c r="F363" s="20"/>
    </row>
    <row r="364" spans="5:6" ht="14.25">
      <c r="E364" s="20"/>
      <c r="F364" s="20"/>
    </row>
    <row r="365" spans="5:6" ht="14.25">
      <c r="E365" s="20"/>
      <c r="F365" s="20"/>
    </row>
    <row r="366" spans="5:6" ht="14.25">
      <c r="E366" s="20"/>
      <c r="F366" s="20"/>
    </row>
    <row r="367" spans="5:6" ht="14.25">
      <c r="E367" s="20"/>
      <c r="F367" s="20"/>
    </row>
    <row r="368" spans="5:6" ht="14.25">
      <c r="E368" s="20"/>
      <c r="F368" s="20"/>
    </row>
    <row r="369" spans="5:6" ht="14.25">
      <c r="E369" s="20"/>
      <c r="F369" s="20"/>
    </row>
    <row r="370" spans="5:6" ht="14.25">
      <c r="E370" s="20"/>
      <c r="F370" s="20"/>
    </row>
    <row r="371" spans="5:6" ht="14.25">
      <c r="E371" s="20"/>
      <c r="F371" s="20"/>
    </row>
    <row r="372" spans="5:6" ht="14.25">
      <c r="E372" s="20"/>
      <c r="F372" s="20"/>
    </row>
    <row r="373" spans="5:6" ht="14.25">
      <c r="E373" s="20"/>
      <c r="F373" s="20"/>
    </row>
    <row r="374" spans="5:6" ht="14.25">
      <c r="E374" s="20"/>
      <c r="F374" s="20"/>
    </row>
    <row r="375" spans="5:6" ht="14.25">
      <c r="E375" s="20"/>
      <c r="F375" s="20"/>
    </row>
    <row r="376" spans="5:6" ht="14.25">
      <c r="E376" s="20"/>
      <c r="F376" s="20"/>
    </row>
    <row r="377" spans="5:6" ht="14.25">
      <c r="E377" s="20"/>
      <c r="F377" s="20"/>
    </row>
    <row r="378" spans="5:6" ht="14.25">
      <c r="E378" s="20"/>
      <c r="F378" s="20"/>
    </row>
    <row r="379" spans="5:6" ht="14.25">
      <c r="E379" s="20"/>
      <c r="F379" s="20"/>
    </row>
    <row r="380" spans="5:6" ht="14.25">
      <c r="E380" s="20"/>
      <c r="F380" s="20"/>
    </row>
    <row r="381" spans="5:6" ht="14.25">
      <c r="E381" s="20"/>
      <c r="F381" s="20"/>
    </row>
    <row r="382" spans="5:6" ht="14.25">
      <c r="E382" s="20"/>
      <c r="F382" s="20"/>
    </row>
    <row r="383" spans="5:6" ht="14.25">
      <c r="E383" s="20"/>
      <c r="F383" s="20"/>
    </row>
    <row r="384" spans="5:6" ht="14.25">
      <c r="E384" s="20"/>
      <c r="F384" s="20"/>
    </row>
    <row r="385" spans="5:6" ht="14.25">
      <c r="E385" s="20"/>
      <c r="F385" s="20"/>
    </row>
    <row r="386" spans="5:6" ht="14.25">
      <c r="E386" s="20"/>
      <c r="F386" s="20"/>
    </row>
    <row r="387" spans="5:6" ht="14.25">
      <c r="E387" s="20"/>
      <c r="F387" s="20"/>
    </row>
    <row r="388" spans="5:6" ht="14.25">
      <c r="E388" s="20"/>
      <c r="F388" s="20"/>
    </row>
    <row r="389" spans="5:6" ht="14.25">
      <c r="E389" s="20"/>
      <c r="F389" s="20"/>
    </row>
    <row r="390" spans="5:6" ht="14.25">
      <c r="E390" s="20"/>
      <c r="F390" s="20"/>
    </row>
    <row r="391" spans="5:6" ht="14.25">
      <c r="E391" s="20"/>
      <c r="F391" s="20"/>
    </row>
    <row r="392" spans="5:6" ht="14.25">
      <c r="E392" s="20"/>
      <c r="F392" s="20"/>
    </row>
    <row r="393" spans="5:6" ht="14.25">
      <c r="E393" s="20"/>
      <c r="F393" s="20"/>
    </row>
    <row r="394" spans="5:6" ht="14.25">
      <c r="E394" s="20"/>
      <c r="F394" s="20"/>
    </row>
    <row r="395" spans="5:6" ht="14.25">
      <c r="E395" s="20"/>
      <c r="F395" s="20"/>
    </row>
    <row r="396" spans="5:6" ht="14.25">
      <c r="E396" s="20"/>
      <c r="F396" s="20"/>
    </row>
    <row r="397" spans="5:6" ht="14.25">
      <c r="E397" s="20"/>
      <c r="F397" s="20"/>
    </row>
    <row r="398" spans="5:6" ht="14.25">
      <c r="E398" s="20"/>
      <c r="F398" s="20"/>
    </row>
    <row r="399" spans="5:6" ht="14.25">
      <c r="E399" s="20"/>
      <c r="F399" s="20"/>
    </row>
    <row r="400" spans="5:6" ht="14.25">
      <c r="E400" s="20"/>
      <c r="F400" s="20"/>
    </row>
    <row r="401" spans="5:6" ht="14.25">
      <c r="E401" s="20"/>
      <c r="F401" s="20"/>
    </row>
    <row r="402" spans="5:6" ht="14.25">
      <c r="E402" s="20"/>
      <c r="F402" s="20"/>
    </row>
    <row r="403" spans="5:6" ht="14.25">
      <c r="E403" s="20"/>
      <c r="F403" s="20"/>
    </row>
    <row r="404" spans="5:6" ht="14.25">
      <c r="E404" s="20"/>
      <c r="F404" s="20"/>
    </row>
    <row r="405" spans="5:6" ht="14.25">
      <c r="E405" s="20"/>
      <c r="F405" s="20"/>
    </row>
    <row r="406" spans="5:6" ht="14.25">
      <c r="E406" s="20"/>
      <c r="F406" s="20"/>
    </row>
    <row r="407" spans="5:6" ht="14.25">
      <c r="E407" s="20"/>
      <c r="F407" s="20"/>
    </row>
    <row r="408" spans="5:6" ht="14.25">
      <c r="E408" s="20"/>
      <c r="F408" s="20"/>
    </row>
    <row r="409" spans="5:6" ht="14.25">
      <c r="E409" s="20"/>
      <c r="F409" s="20"/>
    </row>
    <row r="410" spans="5:6" ht="14.25">
      <c r="E410" s="20"/>
      <c r="F410" s="20"/>
    </row>
    <row r="411" spans="5:6" ht="14.25">
      <c r="E411" s="20"/>
      <c r="F411" s="20"/>
    </row>
    <row r="412" spans="5:6" ht="14.25">
      <c r="E412" s="20"/>
      <c r="F412" s="20"/>
    </row>
    <row r="413" spans="5:6" ht="14.25">
      <c r="E413" s="20"/>
      <c r="F413" s="20"/>
    </row>
  </sheetData>
  <sheetProtection/>
  <printOptions gridLines="1"/>
  <pageMargins left="0.75" right="0.75" top="0.52" bottom="0.76" header="0.65" footer="0.5"/>
  <pageSetup fitToHeight="1" fitToWidth="1" horizontalDpi="600" verticalDpi="600" orientation="landscape" scale="69" r:id="rId1"/>
  <headerFooter alignWithMargins="0">
    <oddFooter xml:space="preserve">&amp;C&amp;A&amp;R&amp;P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6" sqref="C2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395"/>
  <sheetViews>
    <sheetView zoomScale="90" zoomScaleNormal="90" zoomScalePageLayoutView="0" workbookViewId="0" topLeftCell="A1">
      <selection activeCell="D2" sqref="D2"/>
    </sheetView>
  </sheetViews>
  <sheetFormatPr defaultColWidth="9.140625" defaultRowHeight="12.75"/>
  <cols>
    <col min="1" max="1" width="1.421875" style="0" customWidth="1"/>
    <col min="2" max="2" width="24.28125" style="0" customWidth="1"/>
    <col min="3" max="3" width="6.28125" style="17" customWidth="1"/>
    <col min="4" max="4" width="8.7109375" style="15" bestFit="1" customWidth="1"/>
    <col min="5" max="5" width="5.00390625" style="54" bestFit="1" customWidth="1"/>
    <col min="6" max="6" width="10.28125" style="15" customWidth="1"/>
    <col min="7" max="7" width="5.00390625" style="54" customWidth="1"/>
    <col min="8" max="8" width="9.57421875" style="15" customWidth="1"/>
    <col min="9" max="9" width="5.00390625" style="59" customWidth="1"/>
    <col min="10" max="10" width="11.28125" style="22" bestFit="1" customWidth="1"/>
    <col min="11" max="11" width="5.28125" style="17" customWidth="1"/>
    <col min="12" max="12" width="9.28125" style="22" customWidth="1"/>
    <col min="13" max="13" width="5.28125" style="17" customWidth="1"/>
    <col min="14" max="14" width="9.28125" style="21" customWidth="1"/>
    <col min="15" max="15" width="5.28125" style="17" customWidth="1"/>
    <col min="16" max="16" width="9.28125" style="21" customWidth="1"/>
    <col min="17" max="17" width="5.28125" style="17" customWidth="1"/>
    <col min="18" max="18" width="9.28125" style="21" customWidth="1"/>
    <col min="19" max="19" width="5.28125" style="17" customWidth="1"/>
    <col min="20" max="20" width="9.28125" style="21" customWidth="1"/>
    <col min="21" max="21" width="5.28125" style="15" customWidth="1"/>
  </cols>
  <sheetData>
    <row r="1" spans="3:21" s="21" customFormat="1" ht="29.25" customHeight="1">
      <c r="C1" s="41"/>
      <c r="D1" s="42" t="s">
        <v>103</v>
      </c>
      <c r="E1" s="43"/>
      <c r="F1" s="42" t="s">
        <v>104</v>
      </c>
      <c r="G1" s="43"/>
      <c r="H1" s="42" t="s">
        <v>32</v>
      </c>
      <c r="I1" s="30"/>
      <c r="J1" s="30"/>
      <c r="K1" s="30"/>
      <c r="L1" s="30"/>
      <c r="M1" s="30"/>
      <c r="N1" s="32"/>
      <c r="O1" s="30"/>
      <c r="P1" s="32"/>
      <c r="Q1" s="30"/>
      <c r="R1" s="32"/>
      <c r="S1" s="30"/>
      <c r="T1" s="32"/>
      <c r="U1" s="30"/>
    </row>
    <row r="2" spans="2:21" s="44" customFormat="1" ht="21" customHeight="1">
      <c r="B2" s="44" t="s">
        <v>34</v>
      </c>
      <c r="C2" s="45" t="s">
        <v>103</v>
      </c>
      <c r="D2" s="45">
        <v>7500</v>
      </c>
      <c r="E2" s="46" t="s">
        <v>104</v>
      </c>
      <c r="F2" s="45">
        <v>0</v>
      </c>
      <c r="G2" s="46"/>
      <c r="H2" s="45">
        <f>SUM(D2:F2)</f>
        <v>7500</v>
      </c>
      <c r="I2" s="47"/>
      <c r="J2" s="45">
        <v>7500</v>
      </c>
      <c r="K2" s="45"/>
      <c r="L2" s="45">
        <v>8500</v>
      </c>
      <c r="M2" s="45"/>
      <c r="N2" s="45">
        <v>9500</v>
      </c>
      <c r="O2" s="45"/>
      <c r="P2" s="45">
        <v>10500</v>
      </c>
      <c r="Q2" s="45"/>
      <c r="R2" s="45">
        <v>11500</v>
      </c>
      <c r="S2" s="45"/>
      <c r="T2" s="45">
        <v>12500</v>
      </c>
      <c r="U2" s="45"/>
    </row>
    <row r="3" spans="2:42" s="86" customFormat="1" ht="23.25" customHeight="1">
      <c r="B3" s="82" t="s">
        <v>24</v>
      </c>
      <c r="C3" s="81">
        <f>'[1]3-Cost Development'!J18</f>
        <v>127.5703846153846</v>
      </c>
      <c r="D3" s="83">
        <f>$C$3*D2</f>
        <v>956777.8846153845</v>
      </c>
      <c r="E3" s="84">
        <f>D3/D$18</f>
        <v>0.9099856190942783</v>
      </c>
      <c r="F3" s="83">
        <f>$C$3*F2</f>
        <v>0</v>
      </c>
      <c r="G3" s="84" t="e">
        <f>F3/F$18</f>
        <v>#DIV/0!</v>
      </c>
      <c r="H3" s="83">
        <f>SUM(D3:F3)</f>
        <v>956778.7946010036</v>
      </c>
      <c r="I3" s="84">
        <f>H3/H$18</f>
        <v>0.9099856970000176</v>
      </c>
      <c r="J3" s="83">
        <f aca="true" t="shared" si="0" ref="J3:T3">$C$3*J2</f>
        <v>956777.8846153845</v>
      </c>
      <c r="K3" s="84">
        <f>J3/J$18</f>
        <v>0.9099856190942783</v>
      </c>
      <c r="L3" s="83">
        <f t="shared" si="0"/>
        <v>1084348.269230769</v>
      </c>
      <c r="M3" s="84">
        <f>L3/L$18</f>
        <v>0.9157898751034563</v>
      </c>
      <c r="N3" s="83">
        <f t="shared" si="0"/>
        <v>1211918.6538461538</v>
      </c>
      <c r="O3" s="84">
        <f>N3/N$18</f>
        <v>0.920424749578658</v>
      </c>
      <c r="P3" s="83">
        <f t="shared" si="0"/>
        <v>1339489.0384615383</v>
      </c>
      <c r="Q3" s="84">
        <f>P3/P$18</f>
        <v>0.9242112938339526</v>
      </c>
      <c r="R3" s="83">
        <f t="shared" si="0"/>
        <v>1467059.4230769228</v>
      </c>
      <c r="S3" s="84">
        <f>R3/R$18</f>
        <v>0.927362887548396</v>
      </c>
      <c r="T3" s="83">
        <f t="shared" si="0"/>
        <v>1594629.8076923075</v>
      </c>
      <c r="U3" s="85">
        <f>T3/T$18</f>
        <v>0.9300268846222807</v>
      </c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</row>
    <row r="4" spans="2:21" ht="22.5" customHeight="1">
      <c r="B4" s="14" t="s">
        <v>22</v>
      </c>
      <c r="C4" s="19"/>
      <c r="D4" s="20"/>
      <c r="F4" s="20"/>
      <c r="H4" s="20"/>
      <c r="I4" s="58"/>
      <c r="J4" s="20"/>
      <c r="K4" s="19"/>
      <c r="L4" s="20"/>
      <c r="M4" s="19"/>
      <c r="N4" s="20"/>
      <c r="O4" s="19"/>
      <c r="P4" s="20"/>
      <c r="Q4" s="19"/>
      <c r="R4" s="20"/>
      <c r="S4" s="19"/>
      <c r="T4" s="20"/>
      <c r="U4" s="20"/>
    </row>
    <row r="5" spans="2:21" ht="17.25" customHeight="1">
      <c r="B5" t="s">
        <v>31</v>
      </c>
      <c r="C5" s="19"/>
      <c r="D5" s="22">
        <f>'[1]5-Payroll - Expenses'!Y25</f>
        <v>0</v>
      </c>
      <c r="F5" s="22">
        <f>'[1]5-Payroll - Expenses'!AD25</f>
        <v>0</v>
      </c>
      <c r="H5" s="22">
        <f aca="true" t="shared" si="1" ref="H5:H11">SUM(D5:F5)</f>
        <v>0</v>
      </c>
      <c r="J5" s="22">
        <f aca="true" t="shared" si="2" ref="J5:T11">$H5</f>
        <v>0</v>
      </c>
      <c r="K5" s="41"/>
      <c r="L5" s="22">
        <f t="shared" si="2"/>
        <v>0</v>
      </c>
      <c r="M5" s="41"/>
      <c r="N5" s="22">
        <f t="shared" si="2"/>
        <v>0</v>
      </c>
      <c r="O5" s="41"/>
      <c r="P5" s="22">
        <f t="shared" si="2"/>
        <v>0</v>
      </c>
      <c r="Q5" s="41"/>
      <c r="R5" s="22">
        <f t="shared" si="2"/>
        <v>0</v>
      </c>
      <c r="S5" s="41"/>
      <c r="T5" s="22">
        <f t="shared" si="2"/>
        <v>0</v>
      </c>
      <c r="U5" s="22"/>
    </row>
    <row r="6" spans="2:21" ht="26.25" customHeight="1">
      <c r="B6" t="s">
        <v>25</v>
      </c>
      <c r="C6" s="19"/>
      <c r="D6" s="22">
        <v>30143</v>
      </c>
      <c r="F6" s="22">
        <v>0</v>
      </c>
      <c r="H6" s="22">
        <f t="shared" si="1"/>
        <v>30143</v>
      </c>
      <c r="J6" s="22">
        <f t="shared" si="2"/>
        <v>30143</v>
      </c>
      <c r="K6" s="41"/>
      <c r="L6" s="22">
        <f t="shared" si="2"/>
        <v>30143</v>
      </c>
      <c r="M6" s="41"/>
      <c r="N6" s="22">
        <f t="shared" si="2"/>
        <v>30143</v>
      </c>
      <c r="O6" s="41"/>
      <c r="P6" s="22">
        <f t="shared" si="2"/>
        <v>30143</v>
      </c>
      <c r="Q6" s="41"/>
      <c r="R6" s="22">
        <f t="shared" si="2"/>
        <v>30143</v>
      </c>
      <c r="S6" s="41"/>
      <c r="T6" s="22">
        <f t="shared" si="2"/>
        <v>30143</v>
      </c>
      <c r="U6" s="22"/>
    </row>
    <row r="7" spans="2:21" ht="12.75" hidden="1">
      <c r="B7" t="s">
        <v>26</v>
      </c>
      <c r="C7" s="19"/>
      <c r="D7" s="22"/>
      <c r="F7" s="22"/>
      <c r="H7" s="22">
        <f t="shared" si="1"/>
        <v>0</v>
      </c>
      <c r="J7" s="22">
        <f t="shared" si="2"/>
        <v>0</v>
      </c>
      <c r="K7" s="41"/>
      <c r="L7" s="22">
        <f t="shared" si="2"/>
        <v>0</v>
      </c>
      <c r="M7" s="41"/>
      <c r="N7" s="22">
        <f t="shared" si="2"/>
        <v>0</v>
      </c>
      <c r="O7" s="41"/>
      <c r="P7" s="22">
        <f t="shared" si="2"/>
        <v>0</v>
      </c>
      <c r="Q7" s="41"/>
      <c r="R7" s="22">
        <f t="shared" si="2"/>
        <v>0</v>
      </c>
      <c r="S7" s="41"/>
      <c r="T7" s="22">
        <f t="shared" si="2"/>
        <v>0</v>
      </c>
      <c r="U7" s="22"/>
    </row>
    <row r="8" spans="2:21" ht="12.75" hidden="1">
      <c r="B8" t="s">
        <v>40</v>
      </c>
      <c r="C8" s="19"/>
      <c r="D8" s="22"/>
      <c r="F8" s="22">
        <v>0</v>
      </c>
      <c r="H8" s="22">
        <f t="shared" si="1"/>
        <v>0</v>
      </c>
      <c r="J8" s="22">
        <f t="shared" si="2"/>
        <v>0</v>
      </c>
      <c r="K8" s="41"/>
      <c r="L8" s="22">
        <f t="shared" si="2"/>
        <v>0</v>
      </c>
      <c r="M8" s="41"/>
      <c r="N8" s="22">
        <f t="shared" si="2"/>
        <v>0</v>
      </c>
      <c r="O8" s="41"/>
      <c r="P8" s="22">
        <f t="shared" si="2"/>
        <v>0</v>
      </c>
      <c r="Q8" s="41"/>
      <c r="R8" s="22">
        <f t="shared" si="2"/>
        <v>0</v>
      </c>
      <c r="S8" s="41"/>
      <c r="T8" s="22">
        <f t="shared" si="2"/>
        <v>0</v>
      </c>
      <c r="U8" s="22"/>
    </row>
    <row r="9" spans="2:21" ht="12.75">
      <c r="B9" t="s">
        <v>27</v>
      </c>
      <c r="C9" s="19"/>
      <c r="D9" s="22">
        <v>18000</v>
      </c>
      <c r="F9" s="22">
        <v>0</v>
      </c>
      <c r="H9" s="22">
        <f t="shared" si="1"/>
        <v>18000</v>
      </c>
      <c r="J9" s="22">
        <f t="shared" si="2"/>
        <v>18000</v>
      </c>
      <c r="K9" s="41"/>
      <c r="L9" s="22">
        <f t="shared" si="2"/>
        <v>18000</v>
      </c>
      <c r="M9" s="41"/>
      <c r="N9" s="22">
        <f t="shared" si="2"/>
        <v>18000</v>
      </c>
      <c r="O9" s="41"/>
      <c r="P9" s="22">
        <f t="shared" si="2"/>
        <v>18000</v>
      </c>
      <c r="Q9" s="41"/>
      <c r="R9" s="22">
        <f t="shared" si="2"/>
        <v>18000</v>
      </c>
      <c r="S9" s="41"/>
      <c r="T9" s="22">
        <f t="shared" si="2"/>
        <v>18000</v>
      </c>
      <c r="U9" s="22"/>
    </row>
    <row r="10" spans="2:21" ht="12.75">
      <c r="B10" t="s">
        <v>28</v>
      </c>
      <c r="C10" s="19"/>
      <c r="D10" s="22">
        <v>8500</v>
      </c>
      <c r="F10" s="22">
        <v>0</v>
      </c>
      <c r="H10" s="22">
        <f t="shared" si="1"/>
        <v>8500</v>
      </c>
      <c r="J10" s="22">
        <f t="shared" si="2"/>
        <v>8500</v>
      </c>
      <c r="K10" s="41"/>
      <c r="L10" s="22">
        <f t="shared" si="2"/>
        <v>8500</v>
      </c>
      <c r="M10" s="41"/>
      <c r="N10" s="22">
        <f t="shared" si="2"/>
        <v>8500</v>
      </c>
      <c r="O10" s="41"/>
      <c r="P10" s="22">
        <f t="shared" si="2"/>
        <v>8500</v>
      </c>
      <c r="Q10" s="41"/>
      <c r="R10" s="22">
        <f t="shared" si="2"/>
        <v>8500</v>
      </c>
      <c r="S10" s="41"/>
      <c r="T10" s="22">
        <f t="shared" si="2"/>
        <v>8500</v>
      </c>
      <c r="U10" s="22"/>
    </row>
    <row r="11" spans="2:21" ht="12.75">
      <c r="B11" t="s">
        <v>29</v>
      </c>
      <c r="C11" s="19"/>
      <c r="D11" s="104">
        <v>0</v>
      </c>
      <c r="E11" s="105"/>
      <c r="F11" s="104">
        <v>0</v>
      </c>
      <c r="H11" s="22">
        <f t="shared" si="1"/>
        <v>0</v>
      </c>
      <c r="J11" s="22">
        <f t="shared" si="2"/>
        <v>0</v>
      </c>
      <c r="K11" s="41"/>
      <c r="L11" s="22">
        <f t="shared" si="2"/>
        <v>0</v>
      </c>
      <c r="M11" s="41"/>
      <c r="N11" s="22">
        <f t="shared" si="2"/>
        <v>0</v>
      </c>
      <c r="O11" s="41"/>
      <c r="P11" s="22">
        <f t="shared" si="2"/>
        <v>0</v>
      </c>
      <c r="Q11" s="41"/>
      <c r="R11" s="22">
        <f t="shared" si="2"/>
        <v>0</v>
      </c>
      <c r="S11" s="41"/>
      <c r="T11" s="22">
        <f t="shared" si="2"/>
        <v>0</v>
      </c>
      <c r="U11" s="22"/>
    </row>
    <row r="12" spans="3:21" ht="12.75">
      <c r="C12" s="19"/>
      <c r="D12" s="23">
        <f>SUM(D5:D11)</f>
        <v>56643</v>
      </c>
      <c r="E12" s="54">
        <f>D12/D$18</f>
        <v>0.053872812333112745</v>
      </c>
      <c r="F12" s="23">
        <f>SUM(F5:F11)</f>
        <v>0</v>
      </c>
      <c r="G12" s="54" t="e">
        <f>F12/F$18</f>
        <v>#DIV/0!</v>
      </c>
      <c r="H12" s="23">
        <f>SUM(H5:H11)</f>
        <v>56643</v>
      </c>
      <c r="I12" s="54">
        <f>H12/H$18</f>
        <v>0.05387276570721557</v>
      </c>
      <c r="J12" s="23">
        <f>SUM(J5:J11)</f>
        <v>56643</v>
      </c>
      <c r="K12" s="54">
        <f>J12/J$18</f>
        <v>0.053872812333112745</v>
      </c>
      <c r="L12" s="23">
        <f aca="true" t="shared" si="3" ref="L12:T12">SUM(L5:L11)</f>
        <v>56643</v>
      </c>
      <c r="M12" s="54">
        <f>L12/L$18</f>
        <v>0.04783803079455604</v>
      </c>
      <c r="N12" s="23">
        <f t="shared" si="3"/>
        <v>56643</v>
      </c>
      <c r="O12" s="54">
        <f>N12/N$18</f>
        <v>0.04301907469195722</v>
      </c>
      <c r="P12" s="23">
        <f t="shared" si="3"/>
        <v>56643</v>
      </c>
      <c r="Q12" s="54">
        <f>P12/P$18</f>
        <v>0.03908214163272509</v>
      </c>
      <c r="R12" s="23">
        <f t="shared" si="3"/>
        <v>56643</v>
      </c>
      <c r="S12" s="54">
        <f>R12/R$18</f>
        <v>0.0358053772145326</v>
      </c>
      <c r="T12" s="23">
        <f t="shared" si="3"/>
        <v>56643</v>
      </c>
      <c r="U12" s="24">
        <f>T12/T$18</f>
        <v>0.03303557513570864</v>
      </c>
    </row>
    <row r="13" spans="2:21" ht="12.75">
      <c r="B13" s="14" t="s">
        <v>23</v>
      </c>
      <c r="C13" s="19"/>
      <c r="D13" s="22"/>
      <c r="F13" s="22"/>
      <c r="H13" s="22"/>
      <c r="K13" s="41"/>
      <c r="M13" s="41"/>
      <c r="N13" s="22"/>
      <c r="O13" s="41"/>
      <c r="P13" s="22"/>
      <c r="Q13" s="41"/>
      <c r="R13" s="22"/>
      <c r="S13" s="41"/>
      <c r="T13" s="22"/>
      <c r="U13" s="22"/>
    </row>
    <row r="14" spans="2:21" ht="12.75">
      <c r="B14" t="s">
        <v>33</v>
      </c>
      <c r="C14" s="19"/>
      <c r="D14" s="104">
        <v>23000</v>
      </c>
      <c r="E14" s="54" t="s">
        <v>109</v>
      </c>
      <c r="F14" s="22">
        <v>0</v>
      </c>
      <c r="H14" s="22">
        <f>SUM(D14:F14)</f>
        <v>23000</v>
      </c>
      <c r="J14" s="22">
        <f aca="true" t="shared" si="4" ref="J14:T15">J$2/$H$2*$H14</f>
        <v>23000</v>
      </c>
      <c r="K14" s="41"/>
      <c r="L14" s="22">
        <f t="shared" si="4"/>
        <v>26066.666666666664</v>
      </c>
      <c r="M14" s="41"/>
      <c r="N14" s="22">
        <f t="shared" si="4"/>
        <v>29133.333333333332</v>
      </c>
      <c r="O14" s="41"/>
      <c r="P14" s="22">
        <f t="shared" si="4"/>
        <v>32199.999999999996</v>
      </c>
      <c r="Q14" s="41"/>
      <c r="R14" s="22">
        <f t="shared" si="4"/>
        <v>35266.66666666667</v>
      </c>
      <c r="S14" s="41"/>
      <c r="T14" s="22">
        <f t="shared" si="4"/>
        <v>38333.333333333336</v>
      </c>
      <c r="U14" s="22"/>
    </row>
    <row r="15" spans="2:21" ht="12.75">
      <c r="B15" t="s">
        <v>21</v>
      </c>
      <c r="C15" s="19"/>
      <c r="D15" s="97">
        <v>15000</v>
      </c>
      <c r="F15" s="22">
        <v>0</v>
      </c>
      <c r="H15" s="22">
        <f>SUM(D15:F15)</f>
        <v>15000</v>
      </c>
      <c r="J15" s="22">
        <f t="shared" si="4"/>
        <v>15000</v>
      </c>
      <c r="K15" s="41"/>
      <c r="L15" s="22">
        <f t="shared" si="4"/>
        <v>17000</v>
      </c>
      <c r="M15" s="41"/>
      <c r="N15" s="22">
        <f t="shared" si="4"/>
        <v>19000</v>
      </c>
      <c r="O15" s="41"/>
      <c r="P15" s="22">
        <f t="shared" si="4"/>
        <v>21000</v>
      </c>
      <c r="Q15" s="41"/>
      <c r="R15" s="22">
        <f t="shared" si="4"/>
        <v>23000</v>
      </c>
      <c r="S15" s="41"/>
      <c r="T15" s="22">
        <f t="shared" si="4"/>
        <v>25000</v>
      </c>
      <c r="U15" s="22"/>
    </row>
    <row r="16" spans="3:21" ht="12.75">
      <c r="C16" s="19"/>
      <c r="D16" s="23">
        <f>SUM(D14:D15)</f>
        <v>38000</v>
      </c>
      <c r="E16" s="54">
        <f>D16/D$18</f>
        <v>0.03614156857260887</v>
      </c>
      <c r="F16" s="23">
        <f>SUM(F14:F15)</f>
        <v>0</v>
      </c>
      <c r="G16" s="54" t="e">
        <f>F16/F$18</f>
        <v>#DIV/0!</v>
      </c>
      <c r="H16" s="23">
        <f>SUM(H14:H15)</f>
        <v>38000</v>
      </c>
      <c r="I16" s="54">
        <f>H16/H$18</f>
        <v>0.03614153729276683</v>
      </c>
      <c r="J16" s="23">
        <f>SUM(J14:J15)</f>
        <v>38000</v>
      </c>
      <c r="K16" s="54">
        <f>J16/J$18</f>
        <v>0.03614156857260887</v>
      </c>
      <c r="L16" s="23">
        <f>SUM(L14:L15)</f>
        <v>43066.666666666664</v>
      </c>
      <c r="M16" s="54">
        <f>L16/L$18</f>
        <v>0.03637209410198754</v>
      </c>
      <c r="N16" s="23">
        <f>SUM(N14:N15)</f>
        <v>48133.33333333333</v>
      </c>
      <c r="O16" s="54">
        <f>N16/N$18</f>
        <v>0.03655617572938475</v>
      </c>
      <c r="P16" s="23">
        <f>SUM(P14:P15)</f>
        <v>53200</v>
      </c>
      <c r="Q16" s="54">
        <f>P16/P$18</f>
        <v>0.03670656453332229</v>
      </c>
      <c r="R16" s="23">
        <f>SUM(R14:R15)</f>
        <v>58266.66666666667</v>
      </c>
      <c r="S16" s="54">
        <f>R16/R$18</f>
        <v>0.03683173523707136</v>
      </c>
      <c r="T16" s="23">
        <f>SUM(T14:T15)</f>
        <v>63333.333333333336</v>
      </c>
      <c r="U16" s="24">
        <f>T16/T$18</f>
        <v>0.036937540242010736</v>
      </c>
    </row>
    <row r="17" spans="2:21" ht="21" customHeight="1">
      <c r="B17" t="s">
        <v>35</v>
      </c>
      <c r="C17" s="19"/>
      <c r="D17" s="22"/>
      <c r="E17" s="54">
        <f>D17/D$18</f>
        <v>0</v>
      </c>
      <c r="F17" s="22"/>
      <c r="G17" s="54" t="e">
        <f>F17/F$18</f>
        <v>#DIV/0!</v>
      </c>
      <c r="H17" s="22"/>
      <c r="I17" s="54">
        <f>H17/H$18</f>
        <v>0</v>
      </c>
      <c r="J17" s="22">
        <f aca="true" t="shared" si="5" ref="J17:T17">$H$17</f>
        <v>0</v>
      </c>
      <c r="K17" s="54">
        <f>J17/J$18</f>
        <v>0</v>
      </c>
      <c r="L17" s="22">
        <f t="shared" si="5"/>
        <v>0</v>
      </c>
      <c r="M17" s="54">
        <f>L17/L$18</f>
        <v>0</v>
      </c>
      <c r="N17" s="22">
        <f t="shared" si="5"/>
        <v>0</v>
      </c>
      <c r="O17" s="54">
        <f>N17/N$18</f>
        <v>0</v>
      </c>
      <c r="P17" s="22">
        <f t="shared" si="5"/>
        <v>0</v>
      </c>
      <c r="Q17" s="54">
        <f>P17/P$18</f>
        <v>0</v>
      </c>
      <c r="R17" s="22">
        <f t="shared" si="5"/>
        <v>0</v>
      </c>
      <c r="S17" s="54">
        <f>R17/R$18</f>
        <v>0</v>
      </c>
      <c r="T17" s="22">
        <f t="shared" si="5"/>
        <v>0</v>
      </c>
      <c r="U17" s="24">
        <f>T17/T$18</f>
        <v>0</v>
      </c>
    </row>
    <row r="18" spans="2:21" ht="16.5" customHeight="1">
      <c r="B18" s="27" t="s">
        <v>41</v>
      </c>
      <c r="C18" s="19"/>
      <c r="D18" s="23">
        <f>D3+D12+D16+D17</f>
        <v>1051420.8846153845</v>
      </c>
      <c r="E18" s="54">
        <f>D18/D$18</f>
        <v>1</v>
      </c>
      <c r="F18" s="23">
        <f>F3+F12+F16+F17</f>
        <v>0</v>
      </c>
      <c r="G18" s="54" t="e">
        <f>F18/F$18</f>
        <v>#DIV/0!</v>
      </c>
      <c r="H18" s="23">
        <f>H3+H12+H16+H17</f>
        <v>1051421.7946010036</v>
      </c>
      <c r="I18" s="54">
        <f>H18/H$18</f>
        <v>1</v>
      </c>
      <c r="J18" s="23">
        <f>J3+J12+J16+J17</f>
        <v>1051420.8846153845</v>
      </c>
      <c r="K18" s="54">
        <f>J18/J$18</f>
        <v>1</v>
      </c>
      <c r="L18" s="23">
        <f>L3+L12+L16+L17</f>
        <v>1184057.9358974358</v>
      </c>
      <c r="M18" s="54">
        <f>L18/L$18</f>
        <v>1</v>
      </c>
      <c r="N18" s="23">
        <f>N3+N12+N16+N17</f>
        <v>1316694.987179487</v>
      </c>
      <c r="O18" s="54">
        <f>N18/N$18</f>
        <v>1</v>
      </c>
      <c r="P18" s="23">
        <f>P3+P12+P16+P17</f>
        <v>1449332.0384615383</v>
      </c>
      <c r="Q18" s="54">
        <f>P18/P$18</f>
        <v>1</v>
      </c>
      <c r="R18" s="23">
        <f>R3+R12+R16+R17</f>
        <v>1581969.0897435895</v>
      </c>
      <c r="S18" s="54">
        <f>R18/R$18</f>
        <v>1</v>
      </c>
      <c r="T18" s="23">
        <f>T3+T12+T16+T17</f>
        <v>1714606.1410256408</v>
      </c>
      <c r="U18" s="24">
        <f>T18/T$18</f>
        <v>1</v>
      </c>
    </row>
    <row r="19" spans="3:21" s="16" customFormat="1" ht="20.25" customHeight="1" thickBot="1">
      <c r="C19" s="19"/>
      <c r="D19" s="26">
        <f>(D3+D12+D16+D17)/D2</f>
        <v>140.18945128205127</v>
      </c>
      <c r="E19" s="55"/>
      <c r="F19" s="26" t="e">
        <f>(F3+F12+F16+F17)/F2</f>
        <v>#DIV/0!</v>
      </c>
      <c r="G19" s="55"/>
      <c r="H19" s="26">
        <f>(H3+H12+H16+H17)/H2</f>
        <v>140.18957261346716</v>
      </c>
      <c r="I19" s="58"/>
      <c r="J19" s="26">
        <f>(J3+J12+J16+J17)/J2</f>
        <v>140.18945128205127</v>
      </c>
      <c r="K19" s="60"/>
      <c r="L19" s="26">
        <f>(L3+L12+L16+L17)/L2</f>
        <v>139.30093363499245</v>
      </c>
      <c r="M19" s="60"/>
      <c r="N19" s="26">
        <f>(N3+N12+N16+N17)/N2</f>
        <v>138.59947233468284</v>
      </c>
      <c r="O19" s="60"/>
      <c r="P19" s="26">
        <f>(P3+P12+P16+P17)/P2</f>
        <v>138.03162271062268</v>
      </c>
      <c r="Q19" s="60"/>
      <c r="R19" s="26">
        <f>(R3+R12+R16+R17)/R2</f>
        <v>137.56252954292083</v>
      </c>
      <c r="S19" s="60"/>
      <c r="T19" s="26">
        <f>(T3+T12+T16+T17)/T2</f>
        <v>137.16849128205126</v>
      </c>
      <c r="U19" s="29"/>
    </row>
    <row r="20" spans="3:21" ht="22.5" customHeight="1" thickTop="1">
      <c r="C20" s="18"/>
      <c r="D20" s="16"/>
      <c r="F20" s="87" t="s">
        <v>37</v>
      </c>
      <c r="G20" s="56"/>
      <c r="I20" s="58"/>
      <c r="J20" s="20"/>
      <c r="K20" s="18"/>
      <c r="L20" s="20"/>
      <c r="M20" s="18"/>
      <c r="N20" s="20"/>
      <c r="O20" s="18"/>
      <c r="P20" s="20"/>
      <c r="Q20" s="18"/>
      <c r="R20" s="20"/>
      <c r="S20" s="18"/>
      <c r="T20" s="20"/>
      <c r="U20" s="16"/>
    </row>
    <row r="21" spans="3:21" ht="17.25" customHeight="1">
      <c r="C21" s="18"/>
      <c r="F21" s="33" t="s">
        <v>24</v>
      </c>
      <c r="G21" s="57"/>
      <c r="H21" s="20"/>
      <c r="I21" s="19"/>
      <c r="J21" s="20">
        <f aca="true" t="shared" si="6" ref="J21:T21">$C$3</f>
        <v>127.5703846153846</v>
      </c>
      <c r="K21" s="54">
        <f>J21/J$25</f>
        <v>0.9099856190942783</v>
      </c>
      <c r="L21" s="20">
        <f t="shared" si="6"/>
        <v>127.5703846153846</v>
      </c>
      <c r="M21" s="54">
        <f>L21/L$25</f>
        <v>0.9157898751034563</v>
      </c>
      <c r="N21" s="20">
        <f t="shared" si="6"/>
        <v>127.5703846153846</v>
      </c>
      <c r="O21" s="54">
        <f>N21/N$25</f>
        <v>0.920424749578658</v>
      </c>
      <c r="P21" s="20">
        <f t="shared" si="6"/>
        <v>127.5703846153846</v>
      </c>
      <c r="Q21" s="54">
        <f>P21/P$25</f>
        <v>0.9242112938339527</v>
      </c>
      <c r="R21" s="20">
        <f t="shared" si="6"/>
        <v>127.5703846153846</v>
      </c>
      <c r="S21" s="54">
        <f>R21/R$25</f>
        <v>0.927362887548396</v>
      </c>
      <c r="T21" s="20">
        <f t="shared" si="6"/>
        <v>127.5703846153846</v>
      </c>
      <c r="U21" s="24">
        <f>T21/T$25</f>
        <v>0.9300268846222807</v>
      </c>
    </row>
    <row r="22" spans="3:21" ht="12.75">
      <c r="C22" s="18"/>
      <c r="F22" s="33" t="s">
        <v>22</v>
      </c>
      <c r="G22" s="57"/>
      <c r="H22" s="20"/>
      <c r="I22" s="19"/>
      <c r="J22" s="20">
        <f>J12/J2</f>
        <v>7.5524</v>
      </c>
      <c r="K22" s="54">
        <f aca="true" t="shared" si="7" ref="K22:M25">J22/J$25</f>
        <v>0.053872812333112745</v>
      </c>
      <c r="L22" s="20">
        <f>L12/L2</f>
        <v>6.663882352941177</v>
      </c>
      <c r="M22" s="54">
        <f t="shared" si="7"/>
        <v>0.04783803079455605</v>
      </c>
      <c r="N22" s="20">
        <f>N12/N2</f>
        <v>5.962421052631579</v>
      </c>
      <c r="O22" s="54">
        <f>N22/N$25</f>
        <v>0.04301907469195722</v>
      </c>
      <c r="P22" s="20">
        <f>P12/P2</f>
        <v>5.394571428571428</v>
      </c>
      <c r="Q22" s="54">
        <f>P22/P$25</f>
        <v>0.03908214163272508</v>
      </c>
      <c r="R22" s="20">
        <f>R12/R2</f>
        <v>4.925478260869565</v>
      </c>
      <c r="S22" s="54">
        <f>R22/R$25</f>
        <v>0.0358053772145326</v>
      </c>
      <c r="T22" s="20">
        <f>T12/T2</f>
        <v>4.53144</v>
      </c>
      <c r="U22" s="24">
        <f>T22/T$25</f>
        <v>0.033035575135708636</v>
      </c>
    </row>
    <row r="23" spans="3:21" ht="12.75">
      <c r="C23" s="18"/>
      <c r="F23" s="33" t="s">
        <v>23</v>
      </c>
      <c r="G23" s="57"/>
      <c r="H23" s="20"/>
      <c r="I23" s="19"/>
      <c r="J23" s="20">
        <f>J16/J2</f>
        <v>5.066666666666666</v>
      </c>
      <c r="K23" s="54">
        <f t="shared" si="7"/>
        <v>0.03614156857260887</v>
      </c>
      <c r="L23" s="20">
        <f>L16/L2</f>
        <v>5.066666666666666</v>
      </c>
      <c r="M23" s="54">
        <f t="shared" si="7"/>
        <v>0.03637209410198754</v>
      </c>
      <c r="N23" s="20">
        <f>N16/N2</f>
        <v>5.066666666666666</v>
      </c>
      <c r="O23" s="54">
        <f>N23/N$25</f>
        <v>0.03655617572938475</v>
      </c>
      <c r="P23" s="20">
        <f>P16/P2</f>
        <v>5.066666666666666</v>
      </c>
      <c r="Q23" s="54">
        <f>P23/P$25</f>
        <v>0.03670656453332229</v>
      </c>
      <c r="R23" s="20">
        <f>R16/R2</f>
        <v>5.066666666666667</v>
      </c>
      <c r="S23" s="54">
        <f>R23/R$25</f>
        <v>0.03683173523707136</v>
      </c>
      <c r="T23" s="20">
        <f>T16/T2</f>
        <v>5.066666666666666</v>
      </c>
      <c r="U23" s="24">
        <f>T23/T$25</f>
        <v>0.03693754024201073</v>
      </c>
    </row>
    <row r="24" spans="3:21" ht="12.75">
      <c r="C24" s="40" t="s">
        <v>62</v>
      </c>
      <c r="F24" s="33" t="s">
        <v>36</v>
      </c>
      <c r="G24" s="57"/>
      <c r="H24" s="20"/>
      <c r="I24" s="19"/>
      <c r="J24" s="20">
        <f>J17/J2</f>
        <v>0</v>
      </c>
      <c r="K24" s="54">
        <f t="shared" si="7"/>
        <v>0</v>
      </c>
      <c r="L24" s="20">
        <f>L17/L2</f>
        <v>0</v>
      </c>
      <c r="M24" s="54">
        <f t="shared" si="7"/>
        <v>0</v>
      </c>
      <c r="N24" s="20">
        <f>N17/N2</f>
        <v>0</v>
      </c>
      <c r="O24" s="54">
        <f>N24/N$25</f>
        <v>0</v>
      </c>
      <c r="P24" s="20">
        <f>P17/P2</f>
        <v>0</v>
      </c>
      <c r="Q24" s="54">
        <f>P24/P$25</f>
        <v>0</v>
      </c>
      <c r="R24" s="20">
        <f>R17/R2</f>
        <v>0</v>
      </c>
      <c r="S24" s="54">
        <f>R24/R$25</f>
        <v>0</v>
      </c>
      <c r="T24" s="20">
        <f>T17/T2</f>
        <v>0</v>
      </c>
      <c r="U24" s="24">
        <f>T24/T$25</f>
        <v>0</v>
      </c>
    </row>
    <row r="25" spans="3:21" ht="20.25" customHeight="1" thickBot="1">
      <c r="C25" s="89">
        <v>160</v>
      </c>
      <c r="F25" s="20"/>
      <c r="G25" s="57"/>
      <c r="H25" s="20"/>
      <c r="I25" s="19"/>
      <c r="J25" s="31">
        <f aca="true" t="shared" si="8" ref="J25:T25">SUM(J21:J24)</f>
        <v>140.18945128205127</v>
      </c>
      <c r="K25" s="61">
        <f t="shared" si="7"/>
        <v>1</v>
      </c>
      <c r="L25" s="31">
        <f t="shared" si="8"/>
        <v>139.30093363499245</v>
      </c>
      <c r="M25" s="61">
        <f t="shared" si="7"/>
        <v>1</v>
      </c>
      <c r="N25" s="31">
        <f t="shared" si="8"/>
        <v>138.59947233468284</v>
      </c>
      <c r="O25" s="61">
        <f>N25/N$25</f>
        <v>1</v>
      </c>
      <c r="P25" s="31">
        <f t="shared" si="8"/>
        <v>138.03162271062268</v>
      </c>
      <c r="Q25" s="61">
        <f>P25/P$25</f>
        <v>1</v>
      </c>
      <c r="R25" s="31">
        <f t="shared" si="8"/>
        <v>137.56252954292083</v>
      </c>
      <c r="S25" s="61">
        <f>R25/R$25</f>
        <v>1</v>
      </c>
      <c r="T25" s="31">
        <f t="shared" si="8"/>
        <v>137.16849128205126</v>
      </c>
      <c r="U25" s="25">
        <f>T25/T$25</f>
        <v>1</v>
      </c>
    </row>
    <row r="26" spans="6:21" ht="13.5" thickTop="1">
      <c r="F26" s="16"/>
      <c r="G26" s="57"/>
      <c r="H26" s="20"/>
      <c r="I26" s="19"/>
      <c r="J26" s="20"/>
      <c r="K26" s="18"/>
      <c r="L26" s="20"/>
      <c r="M26" s="18"/>
      <c r="N26" s="20"/>
      <c r="O26" s="18"/>
      <c r="P26" s="20"/>
      <c r="Q26" s="18"/>
      <c r="R26" s="20"/>
      <c r="S26" s="18"/>
      <c r="T26" s="20"/>
      <c r="U26" s="16"/>
    </row>
    <row r="27" spans="3:21" ht="12.75">
      <c r="C27" s="18"/>
      <c r="D27" s="16"/>
      <c r="F27" s="20"/>
      <c r="G27" s="57"/>
      <c r="H27" s="20"/>
      <c r="I27" s="19"/>
      <c r="J27" s="20"/>
      <c r="K27" s="18"/>
      <c r="L27" s="20"/>
      <c r="M27" s="18"/>
      <c r="N27" s="20"/>
      <c r="O27" s="18"/>
      <c r="P27" s="20"/>
      <c r="Q27" s="18"/>
      <c r="R27" s="20"/>
      <c r="S27" s="18"/>
      <c r="T27" s="20"/>
      <c r="U27" s="16"/>
    </row>
    <row r="28" spans="3:21" ht="12.75">
      <c r="C28" s="18"/>
      <c r="D28" s="16"/>
      <c r="F28" s="20" t="s">
        <v>69</v>
      </c>
      <c r="G28" s="57"/>
      <c r="H28" s="20"/>
      <c r="I28" s="19"/>
      <c r="J28" s="20">
        <f>SUM(J22:J23)</f>
        <v>12.619066666666665</v>
      </c>
      <c r="K28" s="18"/>
      <c r="L28" s="20">
        <f>SUM(L22:L23)</f>
        <v>11.730549019607842</v>
      </c>
      <c r="M28" s="18"/>
      <c r="N28" s="20">
        <f>SUM(N22:N23)</f>
        <v>11.029087719298246</v>
      </c>
      <c r="O28" s="18"/>
      <c r="P28" s="20">
        <f>SUM(P22:P23)</f>
        <v>10.461238095238095</v>
      </c>
      <c r="Q28" s="18"/>
      <c r="R28" s="20">
        <f>SUM(R22:R23)</f>
        <v>9.992144927536232</v>
      </c>
      <c r="S28" s="18"/>
      <c r="T28" s="20">
        <f>SUM(T22:T23)</f>
        <v>9.598106666666666</v>
      </c>
      <c r="U28" s="16"/>
    </row>
    <row r="29" spans="3:21" ht="12.75">
      <c r="C29" s="18"/>
      <c r="D29" s="16"/>
      <c r="F29" s="20"/>
      <c r="G29" s="57"/>
      <c r="H29" s="20"/>
      <c r="I29" s="19"/>
      <c r="J29" s="20"/>
      <c r="K29" s="18"/>
      <c r="L29" s="20"/>
      <c r="M29" s="18"/>
      <c r="N29" s="20"/>
      <c r="O29" s="18"/>
      <c r="P29" s="20"/>
      <c r="Q29" s="18"/>
      <c r="R29" s="20"/>
      <c r="S29" s="18"/>
      <c r="T29" s="20"/>
      <c r="U29" s="16"/>
    </row>
    <row r="30" spans="3:21" ht="12.75">
      <c r="C30" s="18"/>
      <c r="D30" s="16"/>
      <c r="F30" s="20"/>
      <c r="G30" s="57"/>
      <c r="H30" s="20"/>
      <c r="I30" s="19"/>
      <c r="J30" s="20"/>
      <c r="K30" s="18"/>
      <c r="L30" s="20"/>
      <c r="M30" s="18"/>
      <c r="N30" s="20"/>
      <c r="O30" s="18"/>
      <c r="P30" s="20"/>
      <c r="Q30" s="18"/>
      <c r="R30" s="20">
        <f>(P28-R28)*R2</f>
        <v>5394.571428571415</v>
      </c>
      <c r="S30" s="18"/>
      <c r="T30" s="20">
        <f>(P28-T28)*T2</f>
        <v>10789.142857142853</v>
      </c>
      <c r="U30" s="16"/>
    </row>
    <row r="31" spans="3:21" ht="12.75">
      <c r="C31" s="18"/>
      <c r="D31" s="16"/>
      <c r="F31" s="20"/>
      <c r="G31" s="57"/>
      <c r="H31" s="20"/>
      <c r="I31" s="19"/>
      <c r="J31" s="20"/>
      <c r="K31" s="18"/>
      <c r="L31" s="20"/>
      <c r="M31" s="18"/>
      <c r="N31" s="20"/>
      <c r="O31" s="18"/>
      <c r="P31" s="20"/>
      <c r="Q31" s="18"/>
      <c r="R31" s="20"/>
      <c r="S31" s="18"/>
      <c r="T31" s="20"/>
      <c r="U31" s="16"/>
    </row>
    <row r="32" spans="3:21" ht="12.75">
      <c r="C32" s="18"/>
      <c r="D32" s="16"/>
      <c r="F32" s="20"/>
      <c r="G32" s="57"/>
      <c r="H32" s="20"/>
      <c r="I32" s="19"/>
      <c r="J32" s="20"/>
      <c r="K32" s="18"/>
      <c r="L32" s="20"/>
      <c r="M32" s="18"/>
      <c r="N32" s="20"/>
      <c r="O32" s="18"/>
      <c r="P32" s="20"/>
      <c r="Q32" s="18"/>
      <c r="R32" s="20"/>
      <c r="S32" s="18"/>
      <c r="T32" s="20"/>
      <c r="U32" s="16"/>
    </row>
    <row r="33" spans="3:21" ht="12.75">
      <c r="C33" s="18"/>
      <c r="D33" s="16"/>
      <c r="F33" s="16"/>
      <c r="H33" s="16"/>
      <c r="I33" s="58"/>
      <c r="J33" s="20"/>
      <c r="K33" s="18"/>
      <c r="L33" s="20"/>
      <c r="M33" s="18"/>
      <c r="N33" s="20"/>
      <c r="O33" s="18"/>
      <c r="P33" s="20"/>
      <c r="Q33" s="18"/>
      <c r="R33" s="20"/>
      <c r="S33" s="18"/>
      <c r="T33" s="20"/>
      <c r="U33" s="16"/>
    </row>
    <row r="34" spans="3:21" ht="12.75">
      <c r="C34" s="18"/>
      <c r="D34" s="16"/>
      <c r="F34" s="16"/>
      <c r="H34" s="16"/>
      <c r="I34" s="58"/>
      <c r="J34" s="20"/>
      <c r="K34" s="18"/>
      <c r="L34" s="20"/>
      <c r="M34" s="18"/>
      <c r="N34" s="20"/>
      <c r="O34" s="18"/>
      <c r="P34" s="20"/>
      <c r="Q34" s="18"/>
      <c r="R34" s="20"/>
      <c r="S34" s="18"/>
      <c r="T34" s="20"/>
      <c r="U34" s="16"/>
    </row>
    <row r="35" spans="3:21" ht="12.75">
      <c r="C35" s="18"/>
      <c r="D35" s="16"/>
      <c r="F35" s="16"/>
      <c r="H35" s="16"/>
      <c r="I35" s="58"/>
      <c r="J35" s="20"/>
      <c r="K35" s="18"/>
      <c r="L35" s="20"/>
      <c r="M35" s="18"/>
      <c r="N35" s="20"/>
      <c r="O35" s="18"/>
      <c r="P35" s="20"/>
      <c r="Q35" s="18"/>
      <c r="R35" s="20"/>
      <c r="S35" s="18"/>
      <c r="T35" s="20"/>
      <c r="U35" s="16"/>
    </row>
    <row r="36" spans="3:21" ht="12.75">
      <c r="C36" s="18"/>
      <c r="D36" s="16"/>
      <c r="F36" s="16"/>
      <c r="H36" s="16"/>
      <c r="I36" s="58"/>
      <c r="J36" s="20"/>
      <c r="K36" s="18"/>
      <c r="L36" s="20"/>
      <c r="M36" s="18"/>
      <c r="N36" s="20"/>
      <c r="O36" s="18"/>
      <c r="P36" s="20"/>
      <c r="Q36" s="18"/>
      <c r="R36" s="20"/>
      <c r="S36" s="18"/>
      <c r="T36" s="20"/>
      <c r="U36" s="16"/>
    </row>
    <row r="37" spans="3:21" ht="12.75">
      <c r="C37" s="18"/>
      <c r="D37" s="16"/>
      <c r="F37" s="16"/>
      <c r="H37" s="16"/>
      <c r="I37" s="58"/>
      <c r="J37" s="20"/>
      <c r="K37" s="18"/>
      <c r="L37" s="20"/>
      <c r="M37" s="18"/>
      <c r="N37" s="20"/>
      <c r="O37" s="18"/>
      <c r="P37" s="20"/>
      <c r="Q37" s="18"/>
      <c r="R37" s="20"/>
      <c r="S37" s="18"/>
      <c r="T37" s="20"/>
      <c r="U37" s="16"/>
    </row>
    <row r="38" spans="3:21" ht="12.75">
      <c r="C38" s="18"/>
      <c r="D38" s="16"/>
      <c r="F38" s="16"/>
      <c r="H38" s="16"/>
      <c r="I38" s="58"/>
      <c r="J38" s="20"/>
      <c r="K38" s="18"/>
      <c r="L38" s="20"/>
      <c r="M38" s="18"/>
      <c r="N38" s="20"/>
      <c r="O38" s="18"/>
      <c r="P38" s="20"/>
      <c r="Q38" s="18"/>
      <c r="R38" s="20"/>
      <c r="S38" s="18"/>
      <c r="T38" s="20"/>
      <c r="U38" s="16"/>
    </row>
    <row r="39" spans="3:21" ht="12.75">
      <c r="C39" s="18"/>
      <c r="D39" s="16"/>
      <c r="F39" s="16"/>
      <c r="H39" s="16"/>
      <c r="I39" s="58"/>
      <c r="J39" s="20"/>
      <c r="K39" s="18"/>
      <c r="L39" s="20"/>
      <c r="M39" s="18"/>
      <c r="N39" s="20"/>
      <c r="O39" s="18"/>
      <c r="P39" s="20"/>
      <c r="Q39" s="18"/>
      <c r="R39" s="20"/>
      <c r="S39" s="18"/>
      <c r="T39" s="20"/>
      <c r="U39" s="16"/>
    </row>
    <row r="40" spans="3:21" ht="12.75">
      <c r="C40" s="18"/>
      <c r="D40" s="16"/>
      <c r="F40" s="16"/>
      <c r="H40" s="16"/>
      <c r="I40" s="58"/>
      <c r="J40" s="20"/>
      <c r="K40" s="18"/>
      <c r="L40" s="20"/>
      <c r="M40" s="18"/>
      <c r="N40" s="20"/>
      <c r="O40" s="18"/>
      <c r="P40" s="20"/>
      <c r="Q40" s="18"/>
      <c r="R40" s="20"/>
      <c r="S40" s="18"/>
      <c r="T40" s="20"/>
      <c r="U40" s="16"/>
    </row>
    <row r="41" spans="3:21" ht="12.75">
      <c r="C41" s="18"/>
      <c r="D41" s="16"/>
      <c r="F41" s="16"/>
      <c r="H41" s="16"/>
      <c r="I41" s="58"/>
      <c r="J41" s="20"/>
      <c r="K41" s="18"/>
      <c r="L41" s="20"/>
      <c r="M41" s="18"/>
      <c r="N41" s="20"/>
      <c r="O41" s="18"/>
      <c r="P41" s="20"/>
      <c r="Q41" s="18"/>
      <c r="R41" s="20"/>
      <c r="S41" s="18"/>
      <c r="T41" s="20"/>
      <c r="U41" s="16"/>
    </row>
    <row r="42" spans="3:21" ht="12.75">
      <c r="C42" s="18"/>
      <c r="D42" s="16"/>
      <c r="F42" s="16"/>
      <c r="H42" s="16"/>
      <c r="I42" s="58"/>
      <c r="J42" s="20"/>
      <c r="K42" s="18"/>
      <c r="L42" s="20"/>
      <c r="M42" s="18"/>
      <c r="N42" s="20"/>
      <c r="O42" s="18"/>
      <c r="P42" s="20"/>
      <c r="Q42" s="18"/>
      <c r="R42" s="20"/>
      <c r="S42" s="18"/>
      <c r="T42" s="20"/>
      <c r="U42" s="16"/>
    </row>
    <row r="43" spans="3:21" ht="12.75">
      <c r="C43" s="18"/>
      <c r="D43" s="16"/>
      <c r="F43" s="16"/>
      <c r="H43" s="16"/>
      <c r="I43" s="58"/>
      <c r="J43" s="20"/>
      <c r="K43" s="18"/>
      <c r="L43" s="20"/>
      <c r="M43" s="18"/>
      <c r="N43" s="20"/>
      <c r="O43" s="18"/>
      <c r="P43" s="20"/>
      <c r="Q43" s="18"/>
      <c r="R43" s="20"/>
      <c r="S43" s="18"/>
      <c r="T43" s="20"/>
      <c r="U43" s="16"/>
    </row>
    <row r="44" spans="3:21" ht="12.75">
      <c r="C44" s="18"/>
      <c r="D44" s="16"/>
      <c r="F44" s="16"/>
      <c r="H44" s="16"/>
      <c r="I44" s="58"/>
      <c r="J44" s="20"/>
      <c r="K44" s="18"/>
      <c r="L44" s="20"/>
      <c r="M44" s="18"/>
      <c r="N44" s="20"/>
      <c r="O44" s="18"/>
      <c r="P44" s="20"/>
      <c r="Q44" s="18"/>
      <c r="R44" s="20"/>
      <c r="S44" s="18"/>
      <c r="T44" s="20"/>
      <c r="U44" s="16"/>
    </row>
    <row r="45" spans="3:21" ht="12.75">
      <c r="C45" s="18"/>
      <c r="D45" s="16"/>
      <c r="F45" s="16"/>
      <c r="H45" s="16"/>
      <c r="I45" s="58"/>
      <c r="J45" s="20"/>
      <c r="K45" s="18"/>
      <c r="L45" s="20"/>
      <c r="M45" s="18"/>
      <c r="N45" s="20"/>
      <c r="O45" s="18"/>
      <c r="P45" s="20"/>
      <c r="Q45" s="18"/>
      <c r="R45" s="20"/>
      <c r="S45" s="18"/>
      <c r="T45" s="20"/>
      <c r="U45" s="16"/>
    </row>
    <row r="46" spans="3:21" ht="12.75">
      <c r="C46" s="18"/>
      <c r="D46" s="16"/>
      <c r="F46" s="16"/>
      <c r="H46" s="16"/>
      <c r="I46" s="58"/>
      <c r="J46" s="20"/>
      <c r="K46" s="18"/>
      <c r="L46" s="20"/>
      <c r="M46" s="18"/>
      <c r="N46" s="20"/>
      <c r="O46" s="18"/>
      <c r="P46" s="20"/>
      <c r="Q46" s="18"/>
      <c r="R46" s="20"/>
      <c r="S46" s="18"/>
      <c r="T46" s="20"/>
      <c r="U46" s="16"/>
    </row>
    <row r="47" spans="3:21" ht="12.75">
      <c r="C47" s="18"/>
      <c r="D47" s="16"/>
      <c r="F47" s="16"/>
      <c r="H47" s="16"/>
      <c r="I47" s="58"/>
      <c r="J47" s="20"/>
      <c r="K47" s="18"/>
      <c r="L47" s="20"/>
      <c r="M47" s="18"/>
      <c r="N47" s="20"/>
      <c r="O47" s="18"/>
      <c r="P47" s="20"/>
      <c r="Q47" s="18"/>
      <c r="R47" s="20"/>
      <c r="S47" s="18"/>
      <c r="T47" s="20"/>
      <c r="U47" s="16"/>
    </row>
    <row r="48" spans="3:21" ht="12.75">
      <c r="C48" s="18"/>
      <c r="D48" s="16"/>
      <c r="F48" s="16"/>
      <c r="H48" s="16"/>
      <c r="I48" s="58"/>
      <c r="J48" s="20"/>
      <c r="K48" s="18"/>
      <c r="L48" s="20"/>
      <c r="M48" s="18"/>
      <c r="N48" s="20"/>
      <c r="O48" s="18"/>
      <c r="P48" s="20"/>
      <c r="Q48" s="18"/>
      <c r="R48" s="20"/>
      <c r="S48" s="18"/>
      <c r="T48" s="20"/>
      <c r="U48" s="16"/>
    </row>
    <row r="49" spans="3:21" ht="12.75">
      <c r="C49" s="18"/>
      <c r="D49" s="16"/>
      <c r="F49" s="16"/>
      <c r="H49" s="16"/>
      <c r="I49" s="58"/>
      <c r="J49" s="20"/>
      <c r="K49" s="18"/>
      <c r="L49" s="20"/>
      <c r="M49" s="18"/>
      <c r="N49" s="20"/>
      <c r="O49" s="18"/>
      <c r="P49" s="20"/>
      <c r="Q49" s="18"/>
      <c r="R49" s="20"/>
      <c r="S49" s="18"/>
      <c r="T49" s="20"/>
      <c r="U49" s="16"/>
    </row>
    <row r="50" spans="3:21" ht="12.75">
      <c r="C50" s="18"/>
      <c r="D50" s="16"/>
      <c r="F50" s="16"/>
      <c r="H50" s="16"/>
      <c r="I50" s="58"/>
      <c r="J50" s="20"/>
      <c r="K50" s="18"/>
      <c r="L50" s="20"/>
      <c r="M50" s="18"/>
      <c r="N50" s="20"/>
      <c r="O50" s="18"/>
      <c r="P50" s="20"/>
      <c r="Q50" s="18"/>
      <c r="R50" s="20"/>
      <c r="S50" s="18"/>
      <c r="T50" s="20"/>
      <c r="U50" s="16"/>
    </row>
    <row r="51" spans="3:21" ht="12.75">
      <c r="C51" s="18"/>
      <c r="D51" s="16"/>
      <c r="F51" s="16"/>
      <c r="H51" s="16"/>
      <c r="I51" s="58"/>
      <c r="J51" s="20"/>
      <c r="K51" s="18"/>
      <c r="L51" s="20"/>
      <c r="M51" s="18"/>
      <c r="N51" s="20"/>
      <c r="O51" s="18"/>
      <c r="P51" s="20"/>
      <c r="Q51" s="18"/>
      <c r="R51" s="20"/>
      <c r="S51" s="18"/>
      <c r="T51" s="20"/>
      <c r="U51" s="16"/>
    </row>
    <row r="52" spans="3:21" ht="12.75">
      <c r="C52" s="18"/>
      <c r="D52" s="16"/>
      <c r="F52" s="16"/>
      <c r="H52" s="16"/>
      <c r="I52" s="58"/>
      <c r="J52" s="20"/>
      <c r="K52" s="18"/>
      <c r="L52" s="20"/>
      <c r="M52" s="18"/>
      <c r="N52" s="20"/>
      <c r="O52" s="18"/>
      <c r="P52" s="20"/>
      <c r="Q52" s="18"/>
      <c r="R52" s="20"/>
      <c r="S52" s="18"/>
      <c r="T52" s="20"/>
      <c r="U52" s="16"/>
    </row>
    <row r="53" spans="3:21" ht="12.75">
      <c r="C53" s="18"/>
      <c r="D53" s="16"/>
      <c r="F53" s="16"/>
      <c r="H53" s="16"/>
      <c r="I53" s="58"/>
      <c r="J53" s="20"/>
      <c r="K53" s="18"/>
      <c r="L53" s="20"/>
      <c r="M53" s="18"/>
      <c r="N53" s="20"/>
      <c r="O53" s="18"/>
      <c r="P53" s="20"/>
      <c r="Q53" s="18"/>
      <c r="R53" s="20"/>
      <c r="S53" s="18"/>
      <c r="T53" s="20"/>
      <c r="U53" s="16"/>
    </row>
    <row r="54" spans="3:21" ht="12.75">
      <c r="C54" s="18"/>
      <c r="D54" s="16"/>
      <c r="F54" s="16"/>
      <c r="H54" s="16"/>
      <c r="I54" s="58"/>
      <c r="J54" s="20"/>
      <c r="K54" s="18"/>
      <c r="L54" s="20"/>
      <c r="M54" s="18"/>
      <c r="N54" s="20"/>
      <c r="O54" s="18"/>
      <c r="P54" s="20"/>
      <c r="Q54" s="18"/>
      <c r="R54" s="20"/>
      <c r="S54" s="18"/>
      <c r="T54" s="20"/>
      <c r="U54" s="16"/>
    </row>
    <row r="55" spans="3:21" ht="12.75">
      <c r="C55" s="18"/>
      <c r="D55" s="16"/>
      <c r="F55" s="16"/>
      <c r="H55" s="16"/>
      <c r="I55" s="58"/>
      <c r="J55" s="20"/>
      <c r="K55" s="18"/>
      <c r="L55" s="20"/>
      <c r="M55" s="18"/>
      <c r="N55" s="20"/>
      <c r="O55" s="18"/>
      <c r="P55" s="20"/>
      <c r="Q55" s="18"/>
      <c r="R55" s="20"/>
      <c r="S55" s="18"/>
      <c r="T55" s="20"/>
      <c r="U55" s="16"/>
    </row>
    <row r="56" spans="3:21" ht="12.75">
      <c r="C56" s="18"/>
      <c r="D56" s="16"/>
      <c r="F56" s="16"/>
      <c r="H56" s="16"/>
      <c r="I56" s="58"/>
      <c r="J56" s="20"/>
      <c r="K56" s="18"/>
      <c r="L56" s="20"/>
      <c r="M56" s="18"/>
      <c r="N56" s="20"/>
      <c r="O56" s="18"/>
      <c r="P56" s="20"/>
      <c r="Q56" s="18"/>
      <c r="R56" s="20"/>
      <c r="S56" s="18"/>
      <c r="T56" s="20"/>
      <c r="U56" s="16"/>
    </row>
    <row r="57" spans="3:21" ht="12.75">
      <c r="C57" s="18"/>
      <c r="D57" s="16"/>
      <c r="F57" s="16"/>
      <c r="H57" s="16"/>
      <c r="I57" s="58"/>
      <c r="J57" s="20"/>
      <c r="K57" s="18"/>
      <c r="L57" s="20"/>
      <c r="M57" s="18"/>
      <c r="N57" s="20"/>
      <c r="O57" s="18"/>
      <c r="P57" s="20"/>
      <c r="Q57" s="18"/>
      <c r="R57" s="20"/>
      <c r="S57" s="18"/>
      <c r="T57" s="20"/>
      <c r="U57" s="16"/>
    </row>
    <row r="58" spans="3:21" ht="12.75">
      <c r="C58" s="18"/>
      <c r="D58" s="16"/>
      <c r="F58" s="16"/>
      <c r="H58" s="16"/>
      <c r="I58" s="58"/>
      <c r="J58" s="20"/>
      <c r="K58" s="18"/>
      <c r="L58" s="20"/>
      <c r="M58" s="18"/>
      <c r="N58" s="20"/>
      <c r="O58" s="18"/>
      <c r="P58" s="20"/>
      <c r="Q58" s="18"/>
      <c r="R58" s="20"/>
      <c r="S58" s="18"/>
      <c r="T58" s="20"/>
      <c r="U58" s="16"/>
    </row>
    <row r="59" spans="3:21" ht="12.75">
      <c r="C59" s="18"/>
      <c r="D59" s="16"/>
      <c r="F59" s="16"/>
      <c r="H59" s="16"/>
      <c r="I59" s="58"/>
      <c r="J59" s="20"/>
      <c r="K59" s="18"/>
      <c r="L59" s="20"/>
      <c r="M59" s="18"/>
      <c r="N59" s="20"/>
      <c r="O59" s="18"/>
      <c r="P59" s="20"/>
      <c r="Q59" s="18"/>
      <c r="R59" s="20"/>
      <c r="S59" s="18"/>
      <c r="T59" s="20"/>
      <c r="U59" s="16"/>
    </row>
    <row r="60" spans="3:21" ht="12.75">
      <c r="C60" s="18"/>
      <c r="D60" s="16"/>
      <c r="F60" s="16"/>
      <c r="H60" s="16"/>
      <c r="I60" s="58"/>
      <c r="J60" s="20"/>
      <c r="K60" s="18"/>
      <c r="L60" s="20"/>
      <c r="M60" s="18"/>
      <c r="N60" s="20"/>
      <c r="O60" s="18"/>
      <c r="P60" s="20"/>
      <c r="Q60" s="18"/>
      <c r="R60" s="20"/>
      <c r="S60" s="18"/>
      <c r="T60" s="20"/>
      <c r="U60" s="16"/>
    </row>
    <row r="61" spans="3:21" ht="12.75">
      <c r="C61" s="18"/>
      <c r="D61" s="16"/>
      <c r="F61" s="16"/>
      <c r="H61" s="16"/>
      <c r="I61" s="58"/>
      <c r="J61" s="20"/>
      <c r="K61" s="18"/>
      <c r="L61" s="20"/>
      <c r="M61" s="18"/>
      <c r="N61" s="20"/>
      <c r="O61" s="18"/>
      <c r="P61" s="20"/>
      <c r="Q61" s="18"/>
      <c r="R61" s="20"/>
      <c r="S61" s="18"/>
      <c r="T61" s="20"/>
      <c r="U61" s="16"/>
    </row>
    <row r="62" spans="3:21" ht="12.75">
      <c r="C62" s="18"/>
      <c r="D62" s="16"/>
      <c r="F62" s="16"/>
      <c r="H62" s="16"/>
      <c r="I62" s="58"/>
      <c r="J62" s="20"/>
      <c r="K62" s="18"/>
      <c r="L62" s="20"/>
      <c r="M62" s="18"/>
      <c r="N62" s="20"/>
      <c r="O62" s="18"/>
      <c r="P62" s="20"/>
      <c r="Q62" s="18"/>
      <c r="R62" s="20"/>
      <c r="S62" s="18"/>
      <c r="T62" s="20"/>
      <c r="U62" s="16"/>
    </row>
    <row r="63" spans="3:21" ht="12.75">
      <c r="C63" s="18"/>
      <c r="D63" s="16"/>
      <c r="F63" s="16"/>
      <c r="H63" s="16"/>
      <c r="I63" s="58"/>
      <c r="J63" s="20"/>
      <c r="K63" s="18"/>
      <c r="L63" s="20"/>
      <c r="M63" s="18"/>
      <c r="N63" s="20"/>
      <c r="O63" s="18"/>
      <c r="P63" s="20"/>
      <c r="Q63" s="18"/>
      <c r="R63" s="20"/>
      <c r="S63" s="18"/>
      <c r="T63" s="20"/>
      <c r="U63" s="16"/>
    </row>
    <row r="64" spans="3:21" ht="12.75">
      <c r="C64" s="18"/>
      <c r="D64" s="16"/>
      <c r="F64" s="16"/>
      <c r="H64" s="16"/>
      <c r="I64" s="58"/>
      <c r="J64" s="20"/>
      <c r="K64" s="18"/>
      <c r="L64" s="20"/>
      <c r="M64" s="18"/>
      <c r="N64" s="20"/>
      <c r="O64" s="18"/>
      <c r="P64" s="20"/>
      <c r="Q64" s="18"/>
      <c r="R64" s="20"/>
      <c r="S64" s="18"/>
      <c r="T64" s="20"/>
      <c r="U64" s="16"/>
    </row>
    <row r="65" spans="3:21" ht="12.75">
      <c r="C65" s="18"/>
      <c r="D65" s="16"/>
      <c r="F65" s="16"/>
      <c r="H65" s="16"/>
      <c r="I65" s="58"/>
      <c r="J65" s="20"/>
      <c r="K65" s="18"/>
      <c r="L65" s="20"/>
      <c r="M65" s="18"/>
      <c r="N65" s="20"/>
      <c r="O65" s="18"/>
      <c r="P65" s="20"/>
      <c r="Q65" s="18"/>
      <c r="R65" s="20"/>
      <c r="S65" s="18"/>
      <c r="T65" s="20"/>
      <c r="U65" s="16"/>
    </row>
    <row r="66" spans="3:21" ht="12.75">
      <c r="C66" s="18"/>
      <c r="D66" s="16"/>
      <c r="F66" s="16"/>
      <c r="H66" s="16"/>
      <c r="I66" s="58"/>
      <c r="J66" s="20"/>
      <c r="K66" s="18"/>
      <c r="L66" s="20"/>
      <c r="M66" s="18"/>
      <c r="N66" s="20"/>
      <c r="O66" s="18"/>
      <c r="P66" s="20"/>
      <c r="Q66" s="18"/>
      <c r="R66" s="20"/>
      <c r="S66" s="18"/>
      <c r="T66" s="20"/>
      <c r="U66" s="16"/>
    </row>
    <row r="67" spans="3:21" ht="12.75">
      <c r="C67" s="18"/>
      <c r="D67" s="16"/>
      <c r="F67" s="16"/>
      <c r="H67" s="16"/>
      <c r="I67" s="58"/>
      <c r="J67" s="20"/>
      <c r="K67" s="18"/>
      <c r="L67" s="20"/>
      <c r="M67" s="18"/>
      <c r="N67" s="20"/>
      <c r="O67" s="18"/>
      <c r="P67" s="20"/>
      <c r="Q67" s="18"/>
      <c r="R67" s="20"/>
      <c r="S67" s="18"/>
      <c r="T67" s="20"/>
      <c r="U67" s="16"/>
    </row>
    <row r="68" spans="3:21" ht="12.75">
      <c r="C68" s="18"/>
      <c r="D68" s="16"/>
      <c r="F68" s="16"/>
      <c r="H68" s="16"/>
      <c r="I68" s="58"/>
      <c r="J68" s="20"/>
      <c r="K68" s="18"/>
      <c r="L68" s="20"/>
      <c r="M68" s="18"/>
      <c r="N68" s="20"/>
      <c r="O68" s="18"/>
      <c r="P68" s="20"/>
      <c r="Q68" s="18"/>
      <c r="R68" s="20"/>
      <c r="S68" s="18"/>
      <c r="T68" s="20"/>
      <c r="U68" s="16"/>
    </row>
    <row r="69" spans="3:21" ht="12.75">
      <c r="C69" s="18"/>
      <c r="D69" s="16"/>
      <c r="F69" s="16"/>
      <c r="H69" s="16"/>
      <c r="I69" s="58"/>
      <c r="J69" s="20"/>
      <c r="K69" s="18"/>
      <c r="L69" s="20"/>
      <c r="M69" s="18"/>
      <c r="N69" s="20"/>
      <c r="O69" s="18"/>
      <c r="P69" s="20"/>
      <c r="Q69" s="18"/>
      <c r="R69" s="20"/>
      <c r="S69" s="18"/>
      <c r="T69" s="20"/>
      <c r="U69" s="16"/>
    </row>
    <row r="70" spans="3:21" ht="12.75">
      <c r="C70" s="18"/>
      <c r="D70" s="16"/>
      <c r="F70" s="16"/>
      <c r="H70" s="16"/>
      <c r="I70" s="58"/>
      <c r="J70" s="20"/>
      <c r="K70" s="18"/>
      <c r="L70" s="20"/>
      <c r="M70" s="18"/>
      <c r="N70" s="20"/>
      <c r="O70" s="18"/>
      <c r="P70" s="20"/>
      <c r="Q70" s="18"/>
      <c r="R70" s="20"/>
      <c r="S70" s="18"/>
      <c r="T70" s="20"/>
      <c r="U70" s="16"/>
    </row>
    <row r="71" spans="3:21" ht="12.75">
      <c r="C71" s="18"/>
      <c r="D71" s="16"/>
      <c r="F71" s="16"/>
      <c r="H71" s="16"/>
      <c r="I71" s="58"/>
      <c r="J71" s="20"/>
      <c r="K71" s="18"/>
      <c r="L71" s="20"/>
      <c r="M71" s="18"/>
      <c r="N71" s="20"/>
      <c r="O71" s="18"/>
      <c r="P71" s="20"/>
      <c r="Q71" s="18"/>
      <c r="R71" s="20"/>
      <c r="S71" s="18"/>
      <c r="T71" s="20"/>
      <c r="U71" s="16"/>
    </row>
    <row r="72" spans="3:21" ht="12.75">
      <c r="C72" s="18"/>
      <c r="D72" s="16"/>
      <c r="F72" s="16"/>
      <c r="H72" s="16"/>
      <c r="I72" s="58"/>
      <c r="J72" s="20"/>
      <c r="K72" s="18"/>
      <c r="L72" s="20"/>
      <c r="M72" s="18"/>
      <c r="N72" s="20"/>
      <c r="O72" s="18"/>
      <c r="P72" s="20"/>
      <c r="Q72" s="18"/>
      <c r="R72" s="20"/>
      <c r="S72" s="18"/>
      <c r="T72" s="20"/>
      <c r="U72" s="16"/>
    </row>
    <row r="73" spans="3:21" ht="12.75">
      <c r="C73" s="18"/>
      <c r="D73" s="16"/>
      <c r="F73" s="16"/>
      <c r="H73" s="16"/>
      <c r="I73" s="58"/>
      <c r="J73" s="20"/>
      <c r="K73" s="18"/>
      <c r="L73" s="20"/>
      <c r="M73" s="18"/>
      <c r="N73" s="20"/>
      <c r="O73" s="18"/>
      <c r="P73" s="20"/>
      <c r="Q73" s="18"/>
      <c r="R73" s="20"/>
      <c r="S73" s="18"/>
      <c r="T73" s="20"/>
      <c r="U73" s="16"/>
    </row>
    <row r="74" spans="3:21" ht="12.75">
      <c r="C74" s="18"/>
      <c r="D74" s="16"/>
      <c r="F74" s="16"/>
      <c r="H74" s="16"/>
      <c r="I74" s="58"/>
      <c r="J74" s="20"/>
      <c r="K74" s="18"/>
      <c r="L74" s="20"/>
      <c r="M74" s="18"/>
      <c r="N74" s="20"/>
      <c r="O74" s="18"/>
      <c r="P74" s="20"/>
      <c r="Q74" s="18"/>
      <c r="R74" s="20"/>
      <c r="S74" s="18"/>
      <c r="T74" s="20"/>
      <c r="U74" s="16"/>
    </row>
    <row r="75" spans="3:21" ht="12.75">
      <c r="C75" s="18"/>
      <c r="D75" s="16"/>
      <c r="F75" s="16"/>
      <c r="H75" s="16"/>
      <c r="I75" s="58"/>
      <c r="J75" s="20"/>
      <c r="K75" s="18"/>
      <c r="L75" s="20"/>
      <c r="M75" s="18"/>
      <c r="N75" s="20"/>
      <c r="O75" s="18"/>
      <c r="P75" s="20"/>
      <c r="Q75" s="18"/>
      <c r="R75" s="20"/>
      <c r="S75" s="18"/>
      <c r="T75" s="20"/>
      <c r="U75" s="16"/>
    </row>
    <row r="76" spans="3:21" ht="12.75">
      <c r="C76" s="18"/>
      <c r="D76" s="16"/>
      <c r="F76" s="16"/>
      <c r="H76" s="16"/>
      <c r="I76" s="58"/>
      <c r="J76" s="20"/>
      <c r="K76" s="18"/>
      <c r="L76" s="20"/>
      <c r="M76" s="18"/>
      <c r="N76" s="20"/>
      <c r="O76" s="18"/>
      <c r="P76" s="20"/>
      <c r="Q76" s="18"/>
      <c r="R76" s="20"/>
      <c r="S76" s="18"/>
      <c r="T76" s="20"/>
      <c r="U76" s="16"/>
    </row>
    <row r="77" spans="3:21" ht="12.75">
      <c r="C77" s="18"/>
      <c r="D77" s="16"/>
      <c r="F77" s="16"/>
      <c r="H77" s="16"/>
      <c r="I77" s="58"/>
      <c r="J77" s="20"/>
      <c r="K77" s="18"/>
      <c r="L77" s="20"/>
      <c r="M77" s="18"/>
      <c r="N77" s="20"/>
      <c r="O77" s="18"/>
      <c r="P77" s="20"/>
      <c r="Q77" s="18"/>
      <c r="R77" s="20"/>
      <c r="S77" s="18"/>
      <c r="T77" s="20"/>
      <c r="U77" s="16"/>
    </row>
    <row r="78" spans="3:21" ht="12.75">
      <c r="C78" s="18"/>
      <c r="D78" s="16"/>
      <c r="F78" s="16"/>
      <c r="H78" s="16"/>
      <c r="I78" s="58"/>
      <c r="J78" s="20"/>
      <c r="K78" s="18"/>
      <c r="L78" s="20"/>
      <c r="M78" s="18"/>
      <c r="N78" s="20"/>
      <c r="O78" s="18"/>
      <c r="P78" s="20"/>
      <c r="Q78" s="18"/>
      <c r="R78" s="20"/>
      <c r="S78" s="18"/>
      <c r="T78" s="20"/>
      <c r="U78" s="16"/>
    </row>
    <row r="79" spans="3:21" ht="12.75">
      <c r="C79" s="18"/>
      <c r="D79" s="16"/>
      <c r="F79" s="16"/>
      <c r="H79" s="16"/>
      <c r="I79" s="58"/>
      <c r="J79" s="20"/>
      <c r="K79" s="18"/>
      <c r="L79" s="20"/>
      <c r="M79" s="18"/>
      <c r="N79" s="20"/>
      <c r="O79" s="18"/>
      <c r="P79" s="20"/>
      <c r="Q79" s="18"/>
      <c r="R79" s="20"/>
      <c r="S79" s="18"/>
      <c r="T79" s="20"/>
      <c r="U79" s="16"/>
    </row>
    <row r="80" spans="3:21" ht="12.75">
      <c r="C80" s="18"/>
      <c r="D80" s="16"/>
      <c r="F80" s="16"/>
      <c r="H80" s="16"/>
      <c r="I80" s="58"/>
      <c r="J80" s="20"/>
      <c r="K80" s="18"/>
      <c r="L80" s="20"/>
      <c r="M80" s="18"/>
      <c r="N80" s="20"/>
      <c r="O80" s="18"/>
      <c r="P80" s="20"/>
      <c r="Q80" s="18"/>
      <c r="R80" s="20"/>
      <c r="S80" s="18"/>
      <c r="T80" s="20"/>
      <c r="U80" s="16"/>
    </row>
    <row r="81" spans="3:21" ht="12.75">
      <c r="C81" s="18"/>
      <c r="D81" s="16"/>
      <c r="F81" s="16"/>
      <c r="H81" s="16"/>
      <c r="I81" s="58"/>
      <c r="J81" s="20"/>
      <c r="K81" s="18"/>
      <c r="L81" s="20"/>
      <c r="M81" s="18"/>
      <c r="N81" s="20"/>
      <c r="O81" s="18"/>
      <c r="P81" s="20"/>
      <c r="Q81" s="18"/>
      <c r="R81" s="20"/>
      <c r="S81" s="18"/>
      <c r="T81" s="20"/>
      <c r="U81" s="16"/>
    </row>
    <row r="82" spans="3:21" ht="12.75">
      <c r="C82" s="18"/>
      <c r="D82" s="16"/>
      <c r="F82" s="16"/>
      <c r="H82" s="16"/>
      <c r="I82" s="58"/>
      <c r="J82" s="20"/>
      <c r="K82" s="18"/>
      <c r="L82" s="20"/>
      <c r="M82" s="18"/>
      <c r="N82" s="20"/>
      <c r="O82" s="18"/>
      <c r="P82" s="20"/>
      <c r="Q82" s="18"/>
      <c r="R82" s="20"/>
      <c r="S82" s="18"/>
      <c r="T82" s="20"/>
      <c r="U82" s="16"/>
    </row>
    <row r="83" spans="3:21" ht="12.75">
      <c r="C83" s="18"/>
      <c r="D83" s="16"/>
      <c r="F83" s="16"/>
      <c r="H83" s="16"/>
      <c r="I83" s="58"/>
      <c r="J83" s="20"/>
      <c r="K83" s="18"/>
      <c r="L83" s="20"/>
      <c r="M83" s="18"/>
      <c r="N83" s="20"/>
      <c r="O83" s="18"/>
      <c r="P83" s="20"/>
      <c r="Q83" s="18"/>
      <c r="R83" s="20"/>
      <c r="S83" s="18"/>
      <c r="T83" s="20"/>
      <c r="U83" s="16"/>
    </row>
    <row r="84" spans="3:21" ht="12.75">
      <c r="C84" s="18"/>
      <c r="D84" s="16"/>
      <c r="F84" s="16"/>
      <c r="H84" s="16"/>
      <c r="I84" s="58"/>
      <c r="J84" s="20"/>
      <c r="K84" s="18"/>
      <c r="L84" s="20"/>
      <c r="M84" s="18"/>
      <c r="N84" s="20"/>
      <c r="O84" s="18"/>
      <c r="P84" s="20"/>
      <c r="Q84" s="18"/>
      <c r="R84" s="20"/>
      <c r="S84" s="18"/>
      <c r="T84" s="20"/>
      <c r="U84" s="16"/>
    </row>
    <row r="85" spans="3:21" ht="12.75">
      <c r="C85" s="18"/>
      <c r="D85" s="16"/>
      <c r="F85" s="16"/>
      <c r="H85" s="16"/>
      <c r="I85" s="58"/>
      <c r="J85" s="20"/>
      <c r="K85" s="18"/>
      <c r="L85" s="20"/>
      <c r="M85" s="18"/>
      <c r="N85" s="20"/>
      <c r="O85" s="18"/>
      <c r="P85" s="20"/>
      <c r="Q85" s="18"/>
      <c r="R85" s="20"/>
      <c r="S85" s="18"/>
      <c r="T85" s="20"/>
      <c r="U85" s="16"/>
    </row>
    <row r="86" spans="3:21" ht="12.75">
      <c r="C86" s="18"/>
      <c r="D86" s="16"/>
      <c r="F86" s="16"/>
      <c r="H86" s="16"/>
      <c r="I86" s="58"/>
      <c r="J86" s="20"/>
      <c r="K86" s="18"/>
      <c r="L86" s="20"/>
      <c r="M86" s="18"/>
      <c r="N86" s="20"/>
      <c r="O86" s="18"/>
      <c r="P86" s="20"/>
      <c r="Q86" s="18"/>
      <c r="R86" s="20"/>
      <c r="S86" s="18"/>
      <c r="T86" s="20"/>
      <c r="U86" s="16"/>
    </row>
    <row r="87" spans="3:21" ht="12.75">
      <c r="C87" s="18"/>
      <c r="D87" s="16"/>
      <c r="F87" s="16"/>
      <c r="H87" s="16"/>
      <c r="I87" s="58"/>
      <c r="J87" s="20"/>
      <c r="K87" s="18"/>
      <c r="L87" s="20"/>
      <c r="M87" s="18"/>
      <c r="N87" s="20"/>
      <c r="O87" s="18"/>
      <c r="P87" s="20"/>
      <c r="Q87" s="18"/>
      <c r="R87" s="20"/>
      <c r="S87" s="18"/>
      <c r="T87" s="20"/>
      <c r="U87" s="16"/>
    </row>
    <row r="88" spans="3:21" ht="12.75">
      <c r="C88" s="18"/>
      <c r="D88" s="16"/>
      <c r="F88" s="16"/>
      <c r="H88" s="16"/>
      <c r="I88" s="58"/>
      <c r="J88" s="20"/>
      <c r="K88" s="18"/>
      <c r="L88" s="20"/>
      <c r="M88" s="18"/>
      <c r="N88" s="20"/>
      <c r="O88" s="18"/>
      <c r="P88" s="20"/>
      <c r="Q88" s="18"/>
      <c r="R88" s="20"/>
      <c r="S88" s="18"/>
      <c r="T88" s="20"/>
      <c r="U88" s="16"/>
    </row>
    <row r="89" spans="3:21" ht="12.75">
      <c r="C89" s="18"/>
      <c r="D89" s="16"/>
      <c r="F89" s="16"/>
      <c r="H89" s="16"/>
      <c r="I89" s="58"/>
      <c r="J89" s="20"/>
      <c r="K89" s="18"/>
      <c r="L89" s="20"/>
      <c r="M89" s="18"/>
      <c r="N89" s="20"/>
      <c r="O89" s="18"/>
      <c r="P89" s="20"/>
      <c r="Q89" s="18"/>
      <c r="R89" s="20"/>
      <c r="S89" s="18"/>
      <c r="T89" s="20"/>
      <c r="U89" s="16"/>
    </row>
    <row r="90" spans="3:21" ht="12.75">
      <c r="C90" s="18"/>
      <c r="D90" s="16"/>
      <c r="F90" s="16"/>
      <c r="H90" s="16"/>
      <c r="I90" s="58"/>
      <c r="J90" s="20"/>
      <c r="K90" s="18"/>
      <c r="L90" s="20"/>
      <c r="M90" s="18"/>
      <c r="N90" s="20"/>
      <c r="O90" s="18"/>
      <c r="P90" s="20"/>
      <c r="Q90" s="18"/>
      <c r="R90" s="20"/>
      <c r="S90" s="18"/>
      <c r="T90" s="20"/>
      <c r="U90" s="16"/>
    </row>
    <row r="91" spans="3:21" ht="12.75">
      <c r="C91" s="18"/>
      <c r="D91" s="16"/>
      <c r="F91" s="16"/>
      <c r="H91" s="16"/>
      <c r="I91" s="58"/>
      <c r="J91" s="20"/>
      <c r="K91" s="18"/>
      <c r="L91" s="20"/>
      <c r="M91" s="18"/>
      <c r="N91" s="20"/>
      <c r="O91" s="18"/>
      <c r="P91" s="20"/>
      <c r="Q91" s="18"/>
      <c r="R91" s="20"/>
      <c r="S91" s="18"/>
      <c r="T91" s="20"/>
      <c r="U91" s="16"/>
    </row>
    <row r="92" spans="3:21" ht="12.75">
      <c r="C92" s="18"/>
      <c r="D92" s="16"/>
      <c r="F92" s="16"/>
      <c r="H92" s="16"/>
      <c r="I92" s="58"/>
      <c r="J92" s="20"/>
      <c r="K92" s="18"/>
      <c r="L92" s="20"/>
      <c r="M92" s="18"/>
      <c r="N92" s="20"/>
      <c r="O92" s="18"/>
      <c r="P92" s="20"/>
      <c r="Q92" s="18"/>
      <c r="R92" s="20"/>
      <c r="S92" s="18"/>
      <c r="T92" s="20"/>
      <c r="U92" s="16"/>
    </row>
    <row r="93" spans="3:21" ht="12.75">
      <c r="C93" s="18"/>
      <c r="D93" s="16"/>
      <c r="F93" s="16"/>
      <c r="H93" s="16"/>
      <c r="I93" s="58"/>
      <c r="J93" s="20"/>
      <c r="K93" s="18"/>
      <c r="L93" s="20"/>
      <c r="M93" s="18"/>
      <c r="N93" s="20"/>
      <c r="O93" s="18"/>
      <c r="P93" s="20"/>
      <c r="Q93" s="18"/>
      <c r="R93" s="20"/>
      <c r="S93" s="18"/>
      <c r="T93" s="20"/>
      <c r="U93" s="16"/>
    </row>
    <row r="94" spans="3:21" ht="12.75">
      <c r="C94" s="18"/>
      <c r="D94" s="16"/>
      <c r="F94" s="16"/>
      <c r="H94" s="16"/>
      <c r="I94" s="58"/>
      <c r="J94" s="20"/>
      <c r="K94" s="18"/>
      <c r="L94" s="20"/>
      <c r="M94" s="18"/>
      <c r="N94" s="20"/>
      <c r="O94" s="18"/>
      <c r="P94" s="20"/>
      <c r="Q94" s="18"/>
      <c r="R94" s="20"/>
      <c r="S94" s="18"/>
      <c r="T94" s="20"/>
      <c r="U94" s="16"/>
    </row>
    <row r="95" spans="3:21" ht="12.75">
      <c r="C95" s="18"/>
      <c r="D95" s="16"/>
      <c r="F95" s="16"/>
      <c r="H95" s="16"/>
      <c r="I95" s="58"/>
      <c r="J95" s="20"/>
      <c r="K95" s="18"/>
      <c r="L95" s="20"/>
      <c r="M95" s="18"/>
      <c r="N95" s="20"/>
      <c r="O95" s="18"/>
      <c r="P95" s="20"/>
      <c r="Q95" s="18"/>
      <c r="R95" s="20"/>
      <c r="S95" s="18"/>
      <c r="T95" s="20"/>
      <c r="U95" s="16"/>
    </row>
    <row r="96" spans="3:21" ht="12.75">
      <c r="C96" s="18"/>
      <c r="D96" s="16"/>
      <c r="F96" s="16"/>
      <c r="H96" s="16"/>
      <c r="I96" s="58"/>
      <c r="J96" s="20"/>
      <c r="K96" s="18"/>
      <c r="L96" s="20"/>
      <c r="M96" s="18"/>
      <c r="N96" s="20"/>
      <c r="O96" s="18"/>
      <c r="P96" s="20"/>
      <c r="Q96" s="18"/>
      <c r="R96" s="20"/>
      <c r="S96" s="18"/>
      <c r="T96" s="20"/>
      <c r="U96" s="16"/>
    </row>
    <row r="97" spans="3:21" ht="12.75">
      <c r="C97" s="18"/>
      <c r="D97" s="16"/>
      <c r="F97" s="16"/>
      <c r="H97" s="16"/>
      <c r="I97" s="58"/>
      <c r="J97" s="20"/>
      <c r="K97" s="18"/>
      <c r="L97" s="20"/>
      <c r="M97" s="18"/>
      <c r="N97" s="20"/>
      <c r="O97" s="18"/>
      <c r="P97" s="20"/>
      <c r="Q97" s="18"/>
      <c r="R97" s="20"/>
      <c r="S97" s="18"/>
      <c r="T97" s="20"/>
      <c r="U97" s="16"/>
    </row>
    <row r="98" spans="3:21" ht="12.75">
      <c r="C98" s="18"/>
      <c r="D98" s="16"/>
      <c r="F98" s="16"/>
      <c r="H98" s="16"/>
      <c r="I98" s="58"/>
      <c r="J98" s="20"/>
      <c r="K98" s="18"/>
      <c r="L98" s="20"/>
      <c r="M98" s="18"/>
      <c r="N98" s="20"/>
      <c r="O98" s="18"/>
      <c r="P98" s="20"/>
      <c r="Q98" s="18"/>
      <c r="R98" s="20"/>
      <c r="S98" s="18"/>
      <c r="T98" s="20"/>
      <c r="U98" s="16"/>
    </row>
    <row r="99" spans="3:21" ht="12.75">
      <c r="C99" s="18"/>
      <c r="D99" s="16"/>
      <c r="F99" s="16"/>
      <c r="H99" s="16"/>
      <c r="I99" s="58"/>
      <c r="J99" s="20"/>
      <c r="K99" s="18"/>
      <c r="L99" s="20"/>
      <c r="M99" s="18"/>
      <c r="N99" s="20"/>
      <c r="O99" s="18"/>
      <c r="P99" s="20"/>
      <c r="Q99" s="18"/>
      <c r="R99" s="20"/>
      <c r="S99" s="18"/>
      <c r="T99" s="20"/>
      <c r="U99" s="16"/>
    </row>
    <row r="100" spans="3:21" ht="12.75">
      <c r="C100" s="18"/>
      <c r="D100" s="16"/>
      <c r="F100" s="16"/>
      <c r="H100" s="16"/>
      <c r="I100" s="58"/>
      <c r="J100" s="20"/>
      <c r="K100" s="18"/>
      <c r="L100" s="20"/>
      <c r="M100" s="18"/>
      <c r="N100" s="20"/>
      <c r="O100" s="18"/>
      <c r="P100" s="20"/>
      <c r="Q100" s="18"/>
      <c r="R100" s="20"/>
      <c r="S100" s="18"/>
      <c r="T100" s="20"/>
      <c r="U100" s="16"/>
    </row>
    <row r="101" spans="3:21" ht="12.75">
      <c r="C101" s="18"/>
      <c r="D101" s="16"/>
      <c r="F101" s="16"/>
      <c r="H101" s="16"/>
      <c r="I101" s="58"/>
      <c r="J101" s="20"/>
      <c r="K101" s="18"/>
      <c r="L101" s="20"/>
      <c r="M101" s="18"/>
      <c r="N101" s="20"/>
      <c r="O101" s="18"/>
      <c r="P101" s="20"/>
      <c r="Q101" s="18"/>
      <c r="R101" s="20"/>
      <c r="S101" s="18"/>
      <c r="T101" s="20"/>
      <c r="U101" s="16"/>
    </row>
    <row r="102" spans="3:21" ht="12.75">
      <c r="C102" s="18"/>
      <c r="D102" s="16"/>
      <c r="F102" s="16"/>
      <c r="H102" s="16"/>
      <c r="I102" s="58"/>
      <c r="J102" s="20"/>
      <c r="K102" s="18"/>
      <c r="L102" s="20"/>
      <c r="M102" s="18"/>
      <c r="N102" s="20"/>
      <c r="O102" s="18"/>
      <c r="P102" s="20"/>
      <c r="Q102" s="18"/>
      <c r="R102" s="20"/>
      <c r="S102" s="18"/>
      <c r="T102" s="20"/>
      <c r="U102" s="16"/>
    </row>
    <row r="103" spans="3:21" ht="12.75">
      <c r="C103" s="18"/>
      <c r="D103" s="16"/>
      <c r="F103" s="16"/>
      <c r="H103" s="16"/>
      <c r="I103" s="58"/>
      <c r="J103" s="20"/>
      <c r="K103" s="18"/>
      <c r="L103" s="20"/>
      <c r="M103" s="18"/>
      <c r="N103" s="20"/>
      <c r="O103" s="18"/>
      <c r="P103" s="20"/>
      <c r="Q103" s="18"/>
      <c r="R103" s="20"/>
      <c r="S103" s="18"/>
      <c r="T103" s="20"/>
      <c r="U103" s="16"/>
    </row>
    <row r="104" spans="3:21" ht="12.75">
      <c r="C104" s="18"/>
      <c r="D104" s="16"/>
      <c r="F104" s="16"/>
      <c r="H104" s="16"/>
      <c r="I104" s="58"/>
      <c r="J104" s="20"/>
      <c r="K104" s="18"/>
      <c r="L104" s="20"/>
      <c r="M104" s="18"/>
      <c r="N104" s="20"/>
      <c r="O104" s="18"/>
      <c r="P104" s="20"/>
      <c r="Q104" s="18"/>
      <c r="R104" s="20"/>
      <c r="S104" s="18"/>
      <c r="T104" s="20"/>
      <c r="U104" s="16"/>
    </row>
    <row r="105" spans="3:21" ht="12.75">
      <c r="C105" s="18"/>
      <c r="D105" s="16"/>
      <c r="F105" s="16"/>
      <c r="H105" s="16"/>
      <c r="I105" s="58"/>
      <c r="J105" s="20"/>
      <c r="K105" s="18"/>
      <c r="L105" s="20"/>
      <c r="M105" s="18"/>
      <c r="N105" s="20"/>
      <c r="O105" s="18"/>
      <c r="P105" s="20"/>
      <c r="Q105" s="18"/>
      <c r="R105" s="20"/>
      <c r="S105" s="18"/>
      <c r="T105" s="20"/>
      <c r="U105" s="16"/>
    </row>
    <row r="106" spans="3:21" ht="12.75">
      <c r="C106" s="18"/>
      <c r="D106" s="16"/>
      <c r="F106" s="16"/>
      <c r="H106" s="16"/>
      <c r="I106" s="58"/>
      <c r="J106" s="20"/>
      <c r="K106" s="18"/>
      <c r="L106" s="20"/>
      <c r="M106" s="18"/>
      <c r="N106" s="20"/>
      <c r="O106" s="18"/>
      <c r="P106" s="20"/>
      <c r="Q106" s="18"/>
      <c r="R106" s="20"/>
      <c r="S106" s="18"/>
      <c r="T106" s="20"/>
      <c r="U106" s="16"/>
    </row>
    <row r="107" spans="3:21" ht="12.75">
      <c r="C107" s="18"/>
      <c r="D107" s="16"/>
      <c r="F107" s="16"/>
      <c r="H107" s="16"/>
      <c r="I107" s="58"/>
      <c r="J107" s="20"/>
      <c r="K107" s="18"/>
      <c r="L107" s="20"/>
      <c r="M107" s="18"/>
      <c r="N107" s="20"/>
      <c r="O107" s="18"/>
      <c r="P107" s="20"/>
      <c r="Q107" s="18"/>
      <c r="R107" s="20"/>
      <c r="S107" s="18"/>
      <c r="T107" s="20"/>
      <c r="U107" s="16"/>
    </row>
    <row r="108" spans="3:21" ht="12.75">
      <c r="C108" s="18"/>
      <c r="D108" s="16"/>
      <c r="F108" s="16"/>
      <c r="H108" s="16"/>
      <c r="I108" s="58"/>
      <c r="J108" s="20"/>
      <c r="K108" s="18"/>
      <c r="L108" s="20"/>
      <c r="M108" s="18"/>
      <c r="N108" s="20"/>
      <c r="O108" s="18"/>
      <c r="P108" s="20"/>
      <c r="Q108" s="18"/>
      <c r="R108" s="20"/>
      <c r="S108" s="18"/>
      <c r="T108" s="20"/>
      <c r="U108" s="16"/>
    </row>
    <row r="109" spans="3:21" ht="12.75">
      <c r="C109" s="18"/>
      <c r="D109" s="16"/>
      <c r="F109" s="16"/>
      <c r="H109" s="16"/>
      <c r="I109" s="58"/>
      <c r="J109" s="20"/>
      <c r="K109" s="18"/>
      <c r="L109" s="20"/>
      <c r="M109" s="18"/>
      <c r="N109" s="20"/>
      <c r="O109" s="18"/>
      <c r="P109" s="20"/>
      <c r="Q109" s="18"/>
      <c r="R109" s="20"/>
      <c r="S109" s="18"/>
      <c r="T109" s="20"/>
      <c r="U109" s="16"/>
    </row>
    <row r="110" spans="3:21" ht="12.75">
      <c r="C110" s="18"/>
      <c r="D110" s="16"/>
      <c r="F110" s="16"/>
      <c r="H110" s="16"/>
      <c r="I110" s="58"/>
      <c r="J110" s="20"/>
      <c r="K110" s="18"/>
      <c r="L110" s="20"/>
      <c r="M110" s="18"/>
      <c r="N110" s="20"/>
      <c r="O110" s="18"/>
      <c r="P110" s="20"/>
      <c r="Q110" s="18"/>
      <c r="R110" s="20"/>
      <c r="S110" s="18"/>
      <c r="T110" s="20"/>
      <c r="U110" s="16"/>
    </row>
    <row r="111" spans="3:21" ht="12.75">
      <c r="C111" s="18"/>
      <c r="D111" s="16"/>
      <c r="F111" s="16"/>
      <c r="H111" s="16"/>
      <c r="I111" s="58"/>
      <c r="J111" s="20"/>
      <c r="K111" s="18"/>
      <c r="L111" s="20"/>
      <c r="M111" s="18"/>
      <c r="N111" s="20"/>
      <c r="O111" s="18"/>
      <c r="P111" s="20"/>
      <c r="Q111" s="18"/>
      <c r="R111" s="20"/>
      <c r="S111" s="18"/>
      <c r="T111" s="20"/>
      <c r="U111" s="16"/>
    </row>
    <row r="112" spans="3:21" ht="12.75">
      <c r="C112" s="18"/>
      <c r="D112" s="16"/>
      <c r="F112" s="16"/>
      <c r="H112" s="16"/>
      <c r="I112" s="58"/>
      <c r="J112" s="20"/>
      <c r="K112" s="18"/>
      <c r="L112" s="20"/>
      <c r="M112" s="18"/>
      <c r="N112" s="20"/>
      <c r="O112" s="18"/>
      <c r="P112" s="20"/>
      <c r="Q112" s="18"/>
      <c r="R112" s="20"/>
      <c r="S112" s="18"/>
      <c r="T112" s="20"/>
      <c r="U112" s="16"/>
    </row>
    <row r="113" spans="3:21" ht="12.75">
      <c r="C113" s="18"/>
      <c r="D113" s="16"/>
      <c r="F113" s="16"/>
      <c r="H113" s="16"/>
      <c r="I113" s="58"/>
      <c r="J113" s="20"/>
      <c r="K113" s="18"/>
      <c r="L113" s="20"/>
      <c r="M113" s="18"/>
      <c r="N113" s="20"/>
      <c r="O113" s="18"/>
      <c r="P113" s="20"/>
      <c r="Q113" s="18"/>
      <c r="R113" s="20"/>
      <c r="S113" s="18"/>
      <c r="T113" s="20"/>
      <c r="U113" s="16"/>
    </row>
    <row r="114" spans="3:21" ht="12.75">
      <c r="C114" s="18"/>
      <c r="D114" s="16"/>
      <c r="F114" s="16"/>
      <c r="H114" s="16"/>
      <c r="I114" s="58"/>
      <c r="J114" s="20"/>
      <c r="K114" s="18"/>
      <c r="L114" s="20"/>
      <c r="M114" s="18"/>
      <c r="N114" s="20"/>
      <c r="O114" s="18"/>
      <c r="P114" s="20"/>
      <c r="Q114" s="18"/>
      <c r="R114" s="20"/>
      <c r="S114" s="18"/>
      <c r="T114" s="20"/>
      <c r="U114" s="16"/>
    </row>
    <row r="115" spans="3:21" ht="12.75">
      <c r="C115" s="18"/>
      <c r="D115" s="16"/>
      <c r="F115" s="16"/>
      <c r="H115" s="16"/>
      <c r="I115" s="58"/>
      <c r="J115" s="20"/>
      <c r="K115" s="18"/>
      <c r="L115" s="20"/>
      <c r="M115" s="18"/>
      <c r="N115" s="20"/>
      <c r="O115" s="18"/>
      <c r="P115" s="20"/>
      <c r="Q115" s="18"/>
      <c r="R115" s="20"/>
      <c r="S115" s="18"/>
      <c r="T115" s="20"/>
      <c r="U115" s="16"/>
    </row>
    <row r="116" spans="3:21" ht="12.75">
      <c r="C116" s="18"/>
      <c r="D116" s="16"/>
      <c r="F116" s="16"/>
      <c r="H116" s="16"/>
      <c r="I116" s="58"/>
      <c r="J116" s="20"/>
      <c r="K116" s="18"/>
      <c r="L116" s="20"/>
      <c r="M116" s="18"/>
      <c r="N116" s="20"/>
      <c r="O116" s="18"/>
      <c r="P116" s="20"/>
      <c r="Q116" s="18"/>
      <c r="R116" s="20"/>
      <c r="S116" s="18"/>
      <c r="T116" s="20"/>
      <c r="U116" s="16"/>
    </row>
    <row r="117" spans="3:21" ht="12.75">
      <c r="C117" s="18"/>
      <c r="D117" s="16"/>
      <c r="F117" s="16"/>
      <c r="H117" s="16"/>
      <c r="I117" s="58"/>
      <c r="J117" s="20"/>
      <c r="K117" s="18"/>
      <c r="L117" s="20"/>
      <c r="M117" s="18"/>
      <c r="N117" s="20"/>
      <c r="O117" s="18"/>
      <c r="P117" s="20"/>
      <c r="Q117" s="18"/>
      <c r="R117" s="20"/>
      <c r="S117" s="18"/>
      <c r="T117" s="20"/>
      <c r="U117" s="16"/>
    </row>
    <row r="118" spans="3:21" ht="12.75">
      <c r="C118" s="18"/>
      <c r="D118" s="16"/>
      <c r="F118" s="16"/>
      <c r="H118" s="16"/>
      <c r="I118" s="58"/>
      <c r="J118" s="20"/>
      <c r="K118" s="18"/>
      <c r="L118" s="20"/>
      <c r="M118" s="18"/>
      <c r="N118" s="20"/>
      <c r="O118" s="18"/>
      <c r="P118" s="20"/>
      <c r="Q118" s="18"/>
      <c r="R118" s="20"/>
      <c r="S118" s="18"/>
      <c r="T118" s="20"/>
      <c r="U118" s="16"/>
    </row>
    <row r="119" spans="3:21" ht="12.75">
      <c r="C119" s="18"/>
      <c r="D119" s="16"/>
      <c r="F119" s="16"/>
      <c r="H119" s="16"/>
      <c r="I119" s="58"/>
      <c r="J119" s="20"/>
      <c r="K119" s="18"/>
      <c r="L119" s="20"/>
      <c r="M119" s="18"/>
      <c r="N119" s="20"/>
      <c r="O119" s="18"/>
      <c r="P119" s="20"/>
      <c r="Q119" s="18"/>
      <c r="R119" s="20"/>
      <c r="S119" s="18"/>
      <c r="T119" s="20"/>
      <c r="U119" s="16"/>
    </row>
    <row r="120" spans="3:21" ht="12.75">
      <c r="C120" s="18"/>
      <c r="D120" s="16"/>
      <c r="F120" s="16"/>
      <c r="H120" s="16"/>
      <c r="I120" s="58"/>
      <c r="J120" s="20"/>
      <c r="K120" s="18"/>
      <c r="L120" s="20"/>
      <c r="M120" s="18"/>
      <c r="N120" s="20"/>
      <c r="O120" s="18"/>
      <c r="P120" s="20"/>
      <c r="Q120" s="18"/>
      <c r="R120" s="20"/>
      <c r="S120" s="18"/>
      <c r="T120" s="20"/>
      <c r="U120" s="16"/>
    </row>
    <row r="121" spans="3:21" ht="12.75">
      <c r="C121" s="18"/>
      <c r="D121" s="16"/>
      <c r="F121" s="16"/>
      <c r="H121" s="16"/>
      <c r="I121" s="58"/>
      <c r="J121" s="20"/>
      <c r="K121" s="18"/>
      <c r="L121" s="20"/>
      <c r="M121" s="18"/>
      <c r="N121" s="20"/>
      <c r="O121" s="18"/>
      <c r="P121" s="20"/>
      <c r="Q121" s="18"/>
      <c r="R121" s="20"/>
      <c r="S121" s="18"/>
      <c r="T121" s="20"/>
      <c r="U121" s="16"/>
    </row>
    <row r="122" spans="3:21" ht="12.75">
      <c r="C122" s="18"/>
      <c r="D122" s="16"/>
      <c r="F122" s="16"/>
      <c r="H122" s="16"/>
      <c r="I122" s="58"/>
      <c r="J122" s="20"/>
      <c r="K122" s="18"/>
      <c r="L122" s="20"/>
      <c r="M122" s="18"/>
      <c r="N122" s="20"/>
      <c r="O122" s="18"/>
      <c r="P122" s="20"/>
      <c r="Q122" s="18"/>
      <c r="R122" s="20"/>
      <c r="S122" s="18"/>
      <c r="T122" s="20"/>
      <c r="U122" s="16"/>
    </row>
    <row r="123" spans="3:21" ht="12.75">
      <c r="C123" s="18"/>
      <c r="D123" s="16"/>
      <c r="F123" s="16"/>
      <c r="H123" s="16"/>
      <c r="I123" s="58"/>
      <c r="J123" s="20"/>
      <c r="K123" s="18"/>
      <c r="L123" s="20"/>
      <c r="M123" s="18"/>
      <c r="N123" s="20"/>
      <c r="O123" s="18"/>
      <c r="P123" s="20"/>
      <c r="Q123" s="18"/>
      <c r="R123" s="20"/>
      <c r="S123" s="18"/>
      <c r="T123" s="20"/>
      <c r="U123" s="16"/>
    </row>
    <row r="124" spans="3:21" ht="12.75">
      <c r="C124" s="18"/>
      <c r="D124" s="16"/>
      <c r="F124" s="16"/>
      <c r="H124" s="16"/>
      <c r="I124" s="58"/>
      <c r="J124" s="20"/>
      <c r="K124" s="18"/>
      <c r="L124" s="20"/>
      <c r="M124" s="18"/>
      <c r="N124" s="20"/>
      <c r="O124" s="18"/>
      <c r="P124" s="20"/>
      <c r="Q124" s="18"/>
      <c r="R124" s="20"/>
      <c r="S124" s="18"/>
      <c r="T124" s="20"/>
      <c r="U124" s="16"/>
    </row>
    <row r="125" spans="3:21" ht="12.75">
      <c r="C125" s="18"/>
      <c r="D125" s="16"/>
      <c r="F125" s="16"/>
      <c r="H125" s="16"/>
      <c r="I125" s="58"/>
      <c r="J125" s="20"/>
      <c r="K125" s="18"/>
      <c r="L125" s="20"/>
      <c r="M125" s="18"/>
      <c r="N125" s="20"/>
      <c r="O125" s="18"/>
      <c r="P125" s="20"/>
      <c r="Q125" s="18"/>
      <c r="R125" s="20"/>
      <c r="S125" s="18"/>
      <c r="T125" s="20"/>
      <c r="U125" s="16"/>
    </row>
    <row r="126" spans="3:21" ht="12.75">
      <c r="C126" s="18"/>
      <c r="D126" s="16"/>
      <c r="F126" s="16"/>
      <c r="H126" s="16"/>
      <c r="I126" s="58"/>
      <c r="J126" s="20"/>
      <c r="K126" s="18"/>
      <c r="L126" s="20"/>
      <c r="M126" s="18"/>
      <c r="N126" s="20"/>
      <c r="O126" s="18"/>
      <c r="P126" s="20"/>
      <c r="Q126" s="18"/>
      <c r="R126" s="20"/>
      <c r="S126" s="18"/>
      <c r="T126" s="20"/>
      <c r="U126" s="16"/>
    </row>
    <row r="127" spans="3:21" ht="12.75">
      <c r="C127" s="18"/>
      <c r="D127" s="16"/>
      <c r="F127" s="16"/>
      <c r="H127" s="16"/>
      <c r="I127" s="58"/>
      <c r="J127" s="20"/>
      <c r="K127" s="18"/>
      <c r="L127" s="20"/>
      <c r="M127" s="18"/>
      <c r="N127" s="20"/>
      <c r="O127" s="18"/>
      <c r="P127" s="20"/>
      <c r="Q127" s="18"/>
      <c r="R127" s="20"/>
      <c r="S127" s="18"/>
      <c r="T127" s="20"/>
      <c r="U127" s="16"/>
    </row>
    <row r="128" spans="3:21" ht="12.75">
      <c r="C128" s="18"/>
      <c r="D128" s="16"/>
      <c r="F128" s="16"/>
      <c r="H128" s="16"/>
      <c r="I128" s="58"/>
      <c r="J128" s="20"/>
      <c r="K128" s="18"/>
      <c r="L128" s="20"/>
      <c r="M128" s="18"/>
      <c r="N128" s="20"/>
      <c r="O128" s="18"/>
      <c r="P128" s="20"/>
      <c r="Q128" s="18"/>
      <c r="R128" s="20"/>
      <c r="S128" s="18"/>
      <c r="T128" s="20"/>
      <c r="U128" s="16"/>
    </row>
    <row r="129" spans="3:21" ht="12.75">
      <c r="C129" s="18"/>
      <c r="D129" s="16"/>
      <c r="F129" s="16"/>
      <c r="H129" s="16"/>
      <c r="I129" s="58"/>
      <c r="J129" s="20"/>
      <c r="K129" s="18"/>
      <c r="L129" s="20"/>
      <c r="M129" s="18"/>
      <c r="N129" s="20"/>
      <c r="O129" s="18"/>
      <c r="P129" s="20"/>
      <c r="Q129" s="18"/>
      <c r="R129" s="20"/>
      <c r="S129" s="18"/>
      <c r="T129" s="20"/>
      <c r="U129" s="16"/>
    </row>
    <row r="130" spans="3:21" ht="12.75">
      <c r="C130" s="18"/>
      <c r="D130" s="16"/>
      <c r="F130" s="16"/>
      <c r="H130" s="16"/>
      <c r="I130" s="58"/>
      <c r="J130" s="20"/>
      <c r="K130" s="18"/>
      <c r="L130" s="20"/>
      <c r="M130" s="18"/>
      <c r="N130" s="20"/>
      <c r="O130" s="18"/>
      <c r="P130" s="20"/>
      <c r="Q130" s="18"/>
      <c r="R130" s="20"/>
      <c r="S130" s="18"/>
      <c r="T130" s="20"/>
      <c r="U130" s="16"/>
    </row>
    <row r="131" spans="3:21" ht="12.75">
      <c r="C131" s="18"/>
      <c r="D131" s="16"/>
      <c r="F131" s="16"/>
      <c r="H131" s="16"/>
      <c r="I131" s="58"/>
      <c r="J131" s="20"/>
      <c r="K131" s="18"/>
      <c r="L131" s="20"/>
      <c r="M131" s="18"/>
      <c r="N131" s="20"/>
      <c r="O131" s="18"/>
      <c r="P131" s="20"/>
      <c r="Q131" s="18"/>
      <c r="R131" s="20"/>
      <c r="S131" s="18"/>
      <c r="T131" s="20"/>
      <c r="U131" s="16"/>
    </row>
    <row r="132" spans="3:21" ht="12.75">
      <c r="C132" s="18"/>
      <c r="D132" s="16"/>
      <c r="F132" s="16"/>
      <c r="H132" s="16"/>
      <c r="I132" s="58"/>
      <c r="J132" s="20"/>
      <c r="K132" s="18"/>
      <c r="L132" s="20"/>
      <c r="M132" s="18"/>
      <c r="N132" s="20"/>
      <c r="O132" s="18"/>
      <c r="P132" s="20"/>
      <c r="Q132" s="18"/>
      <c r="R132" s="20"/>
      <c r="S132" s="18"/>
      <c r="T132" s="20"/>
      <c r="U132" s="16"/>
    </row>
    <row r="133" spans="3:21" ht="12.75">
      <c r="C133" s="18"/>
      <c r="D133" s="16"/>
      <c r="F133" s="16"/>
      <c r="H133" s="16"/>
      <c r="I133" s="58"/>
      <c r="J133" s="20"/>
      <c r="K133" s="18"/>
      <c r="L133" s="20"/>
      <c r="M133" s="18"/>
      <c r="N133" s="20"/>
      <c r="O133" s="18"/>
      <c r="P133" s="20"/>
      <c r="Q133" s="18"/>
      <c r="R133" s="20"/>
      <c r="S133" s="18"/>
      <c r="T133" s="20"/>
      <c r="U133" s="16"/>
    </row>
    <row r="134" spans="3:21" ht="12.75">
      <c r="C134" s="18"/>
      <c r="D134" s="16"/>
      <c r="F134" s="16"/>
      <c r="H134" s="16"/>
      <c r="I134" s="58"/>
      <c r="J134" s="20"/>
      <c r="K134" s="18"/>
      <c r="L134" s="20"/>
      <c r="M134" s="18"/>
      <c r="N134" s="20"/>
      <c r="O134" s="18"/>
      <c r="P134" s="20"/>
      <c r="Q134" s="18"/>
      <c r="R134" s="20"/>
      <c r="S134" s="18"/>
      <c r="T134" s="20"/>
      <c r="U134" s="16"/>
    </row>
    <row r="135" spans="3:21" ht="12.75">
      <c r="C135" s="18"/>
      <c r="D135" s="16"/>
      <c r="F135" s="16"/>
      <c r="H135" s="16"/>
      <c r="I135" s="58"/>
      <c r="J135" s="20"/>
      <c r="K135" s="18"/>
      <c r="L135" s="20"/>
      <c r="M135" s="18"/>
      <c r="N135" s="20"/>
      <c r="O135" s="18"/>
      <c r="P135" s="20"/>
      <c r="Q135" s="18"/>
      <c r="R135" s="20"/>
      <c r="S135" s="18"/>
      <c r="T135" s="20"/>
      <c r="U135" s="16"/>
    </row>
    <row r="136" spans="3:21" ht="12.75">
      <c r="C136" s="18"/>
      <c r="D136" s="16"/>
      <c r="F136" s="16"/>
      <c r="H136" s="16"/>
      <c r="I136" s="58"/>
      <c r="J136" s="20"/>
      <c r="K136" s="18"/>
      <c r="L136" s="20"/>
      <c r="M136" s="18"/>
      <c r="N136" s="20"/>
      <c r="O136" s="18"/>
      <c r="P136" s="20"/>
      <c r="Q136" s="18"/>
      <c r="R136" s="20"/>
      <c r="S136" s="18"/>
      <c r="T136" s="20"/>
      <c r="U136" s="16"/>
    </row>
    <row r="137" spans="3:21" ht="12.75">
      <c r="C137" s="18"/>
      <c r="D137" s="16"/>
      <c r="F137" s="16"/>
      <c r="H137" s="16"/>
      <c r="I137" s="58"/>
      <c r="J137" s="20"/>
      <c r="K137" s="18"/>
      <c r="L137" s="20"/>
      <c r="M137" s="18"/>
      <c r="N137" s="20"/>
      <c r="O137" s="18"/>
      <c r="P137" s="20"/>
      <c r="Q137" s="18"/>
      <c r="R137" s="20"/>
      <c r="S137" s="18"/>
      <c r="T137" s="20"/>
      <c r="U137" s="16"/>
    </row>
    <row r="138" spans="3:21" ht="12.75">
      <c r="C138" s="18"/>
      <c r="D138" s="16"/>
      <c r="F138" s="16"/>
      <c r="H138" s="16"/>
      <c r="I138" s="58"/>
      <c r="J138" s="20"/>
      <c r="K138" s="18"/>
      <c r="L138" s="20"/>
      <c r="M138" s="18"/>
      <c r="N138" s="20"/>
      <c r="O138" s="18"/>
      <c r="P138" s="20"/>
      <c r="Q138" s="18"/>
      <c r="R138" s="20"/>
      <c r="S138" s="18"/>
      <c r="T138" s="20"/>
      <c r="U138" s="16"/>
    </row>
    <row r="139" spans="3:21" ht="12.75">
      <c r="C139" s="18"/>
      <c r="D139" s="16"/>
      <c r="F139" s="16"/>
      <c r="H139" s="16"/>
      <c r="I139" s="58"/>
      <c r="J139" s="20"/>
      <c r="K139" s="18"/>
      <c r="L139" s="20"/>
      <c r="M139" s="18"/>
      <c r="N139" s="20"/>
      <c r="O139" s="18"/>
      <c r="P139" s="20"/>
      <c r="Q139" s="18"/>
      <c r="R139" s="20"/>
      <c r="S139" s="18"/>
      <c r="T139" s="20"/>
      <c r="U139" s="16"/>
    </row>
    <row r="140" spans="3:21" ht="12.75">
      <c r="C140" s="18"/>
      <c r="D140" s="16"/>
      <c r="F140" s="16"/>
      <c r="H140" s="16"/>
      <c r="I140" s="58"/>
      <c r="J140" s="20"/>
      <c r="K140" s="18"/>
      <c r="L140" s="20"/>
      <c r="M140" s="18"/>
      <c r="N140" s="20"/>
      <c r="O140" s="18"/>
      <c r="P140" s="20"/>
      <c r="Q140" s="18"/>
      <c r="R140" s="20"/>
      <c r="S140" s="18"/>
      <c r="T140" s="20"/>
      <c r="U140" s="16"/>
    </row>
    <row r="141" spans="3:21" ht="12.75">
      <c r="C141" s="18"/>
      <c r="D141" s="16"/>
      <c r="F141" s="16"/>
      <c r="H141" s="16"/>
      <c r="I141" s="58"/>
      <c r="J141" s="20"/>
      <c r="K141" s="18"/>
      <c r="L141" s="20"/>
      <c r="M141" s="18"/>
      <c r="N141" s="20"/>
      <c r="O141" s="18"/>
      <c r="P141" s="20"/>
      <c r="Q141" s="18"/>
      <c r="R141" s="20"/>
      <c r="S141" s="18"/>
      <c r="T141" s="20"/>
      <c r="U141" s="16"/>
    </row>
    <row r="142" spans="3:21" ht="12.75">
      <c r="C142" s="18"/>
      <c r="D142" s="16"/>
      <c r="F142" s="16"/>
      <c r="H142" s="16"/>
      <c r="I142" s="58"/>
      <c r="J142" s="20"/>
      <c r="K142" s="18"/>
      <c r="L142" s="20"/>
      <c r="M142" s="18"/>
      <c r="N142" s="20"/>
      <c r="O142" s="18"/>
      <c r="P142" s="20"/>
      <c r="Q142" s="18"/>
      <c r="R142" s="20"/>
      <c r="S142" s="18"/>
      <c r="T142" s="20"/>
      <c r="U142" s="16"/>
    </row>
    <row r="143" spans="3:21" ht="12.75">
      <c r="C143" s="18"/>
      <c r="D143" s="16"/>
      <c r="F143" s="16"/>
      <c r="H143" s="16"/>
      <c r="I143" s="58"/>
      <c r="J143" s="20"/>
      <c r="K143" s="18"/>
      <c r="L143" s="20"/>
      <c r="M143" s="18"/>
      <c r="N143" s="20"/>
      <c r="O143" s="18"/>
      <c r="P143" s="20"/>
      <c r="Q143" s="18"/>
      <c r="R143" s="20"/>
      <c r="S143" s="18"/>
      <c r="T143" s="20"/>
      <c r="U143" s="16"/>
    </row>
    <row r="144" spans="3:21" ht="12.75">
      <c r="C144" s="18"/>
      <c r="D144" s="16"/>
      <c r="F144" s="16"/>
      <c r="H144" s="16"/>
      <c r="I144" s="58"/>
      <c r="J144" s="20"/>
      <c r="K144" s="18"/>
      <c r="L144" s="20"/>
      <c r="M144" s="18"/>
      <c r="N144" s="20"/>
      <c r="O144" s="18"/>
      <c r="P144" s="20"/>
      <c r="Q144" s="18"/>
      <c r="R144" s="20"/>
      <c r="S144" s="18"/>
      <c r="T144" s="20"/>
      <c r="U144" s="16"/>
    </row>
    <row r="145" spans="3:21" ht="12.75">
      <c r="C145" s="18"/>
      <c r="D145" s="16"/>
      <c r="F145" s="16"/>
      <c r="H145" s="16"/>
      <c r="I145" s="58"/>
      <c r="J145" s="20"/>
      <c r="K145" s="18"/>
      <c r="L145" s="20"/>
      <c r="M145" s="18"/>
      <c r="N145" s="20"/>
      <c r="O145" s="18"/>
      <c r="P145" s="20"/>
      <c r="Q145" s="18"/>
      <c r="R145" s="20"/>
      <c r="S145" s="18"/>
      <c r="T145" s="20"/>
      <c r="U145" s="16"/>
    </row>
    <row r="146" spans="3:21" ht="12.75">
      <c r="C146" s="18"/>
      <c r="D146" s="16"/>
      <c r="F146" s="16"/>
      <c r="H146" s="16"/>
      <c r="I146" s="58"/>
      <c r="J146" s="20"/>
      <c r="K146" s="18"/>
      <c r="L146" s="20"/>
      <c r="M146" s="18"/>
      <c r="N146" s="20"/>
      <c r="O146" s="18"/>
      <c r="P146" s="20"/>
      <c r="Q146" s="18"/>
      <c r="R146" s="20"/>
      <c r="S146" s="18"/>
      <c r="T146" s="20"/>
      <c r="U146" s="16"/>
    </row>
    <row r="147" spans="3:21" ht="12.75">
      <c r="C147" s="18"/>
      <c r="D147" s="16"/>
      <c r="F147" s="16"/>
      <c r="H147" s="16"/>
      <c r="I147" s="58"/>
      <c r="J147" s="20"/>
      <c r="K147" s="18"/>
      <c r="L147" s="20"/>
      <c r="M147" s="18"/>
      <c r="N147" s="20"/>
      <c r="O147" s="18"/>
      <c r="P147" s="20"/>
      <c r="Q147" s="18"/>
      <c r="R147" s="20"/>
      <c r="S147" s="18"/>
      <c r="T147" s="20"/>
      <c r="U147" s="16"/>
    </row>
    <row r="148" spans="3:21" ht="12.75">
      <c r="C148" s="18"/>
      <c r="D148" s="16"/>
      <c r="F148" s="16"/>
      <c r="H148" s="16"/>
      <c r="I148" s="58"/>
      <c r="J148" s="20"/>
      <c r="K148" s="18"/>
      <c r="L148" s="20"/>
      <c r="M148" s="18"/>
      <c r="N148" s="20"/>
      <c r="O148" s="18"/>
      <c r="P148" s="20"/>
      <c r="Q148" s="18"/>
      <c r="R148" s="20"/>
      <c r="S148" s="18"/>
      <c r="T148" s="20"/>
      <c r="U148" s="16"/>
    </row>
    <row r="149" spans="3:21" ht="12.75">
      <c r="C149" s="18"/>
      <c r="D149" s="16"/>
      <c r="F149" s="16"/>
      <c r="H149" s="16"/>
      <c r="I149" s="58"/>
      <c r="J149" s="20"/>
      <c r="K149" s="18"/>
      <c r="L149" s="20"/>
      <c r="M149" s="18"/>
      <c r="N149" s="20"/>
      <c r="O149" s="18"/>
      <c r="P149" s="20"/>
      <c r="Q149" s="18"/>
      <c r="R149" s="20"/>
      <c r="S149" s="18"/>
      <c r="T149" s="20"/>
      <c r="U149" s="16"/>
    </row>
    <row r="150" spans="3:21" ht="12.75">
      <c r="C150" s="18"/>
      <c r="D150" s="16"/>
      <c r="F150" s="16"/>
      <c r="H150" s="16"/>
      <c r="I150" s="58"/>
      <c r="J150" s="20"/>
      <c r="K150" s="18"/>
      <c r="L150" s="20"/>
      <c r="M150" s="18"/>
      <c r="N150" s="20"/>
      <c r="O150" s="18"/>
      <c r="P150" s="20"/>
      <c r="Q150" s="18"/>
      <c r="R150" s="20"/>
      <c r="S150" s="18"/>
      <c r="T150" s="20"/>
      <c r="U150" s="16"/>
    </row>
    <row r="151" spans="3:21" ht="12.75">
      <c r="C151" s="18"/>
      <c r="D151" s="16"/>
      <c r="F151" s="16"/>
      <c r="H151" s="16"/>
      <c r="I151" s="58"/>
      <c r="J151" s="20"/>
      <c r="K151" s="18"/>
      <c r="L151" s="20"/>
      <c r="M151" s="18"/>
      <c r="N151" s="20"/>
      <c r="O151" s="18"/>
      <c r="P151" s="20"/>
      <c r="Q151" s="18"/>
      <c r="R151" s="20"/>
      <c r="S151" s="18"/>
      <c r="T151" s="20"/>
      <c r="U151" s="16"/>
    </row>
    <row r="152" spans="3:21" ht="12.75">
      <c r="C152" s="18"/>
      <c r="D152" s="16"/>
      <c r="F152" s="16"/>
      <c r="H152" s="16"/>
      <c r="I152" s="58"/>
      <c r="J152" s="20"/>
      <c r="K152" s="18"/>
      <c r="L152" s="20"/>
      <c r="M152" s="18"/>
      <c r="N152" s="20"/>
      <c r="O152" s="18"/>
      <c r="P152" s="20"/>
      <c r="Q152" s="18"/>
      <c r="R152" s="20"/>
      <c r="S152" s="18"/>
      <c r="T152" s="20"/>
      <c r="U152" s="16"/>
    </row>
    <row r="153" spans="3:21" ht="12.75">
      <c r="C153" s="18"/>
      <c r="D153" s="16"/>
      <c r="F153" s="16"/>
      <c r="H153" s="16"/>
      <c r="I153" s="58"/>
      <c r="J153" s="20"/>
      <c r="K153" s="18"/>
      <c r="L153" s="20"/>
      <c r="M153" s="18"/>
      <c r="N153" s="20"/>
      <c r="O153" s="18"/>
      <c r="P153" s="20"/>
      <c r="Q153" s="18"/>
      <c r="R153" s="20"/>
      <c r="S153" s="18"/>
      <c r="T153" s="20"/>
      <c r="U153" s="16"/>
    </row>
    <row r="154" spans="3:21" ht="12.75">
      <c r="C154" s="18"/>
      <c r="D154" s="16"/>
      <c r="F154" s="16"/>
      <c r="H154" s="16"/>
      <c r="I154" s="58"/>
      <c r="J154" s="20"/>
      <c r="K154" s="18"/>
      <c r="L154" s="20"/>
      <c r="M154" s="18"/>
      <c r="N154" s="20"/>
      <c r="O154" s="18"/>
      <c r="P154" s="20"/>
      <c r="Q154" s="18"/>
      <c r="R154" s="20"/>
      <c r="S154" s="18"/>
      <c r="T154" s="20"/>
      <c r="U154" s="16"/>
    </row>
    <row r="155" spans="3:21" ht="12.75">
      <c r="C155" s="18"/>
      <c r="D155" s="16"/>
      <c r="F155" s="16"/>
      <c r="H155" s="16"/>
      <c r="I155" s="58"/>
      <c r="J155" s="20"/>
      <c r="K155" s="18"/>
      <c r="L155" s="20"/>
      <c r="M155" s="18"/>
      <c r="N155" s="20"/>
      <c r="O155" s="18"/>
      <c r="P155" s="20"/>
      <c r="Q155" s="18"/>
      <c r="R155" s="20"/>
      <c r="S155" s="18"/>
      <c r="T155" s="20"/>
      <c r="U155" s="16"/>
    </row>
    <row r="156" spans="3:21" ht="12.75">
      <c r="C156" s="18"/>
      <c r="D156" s="16"/>
      <c r="F156" s="16"/>
      <c r="H156" s="16"/>
      <c r="I156" s="58"/>
      <c r="J156" s="20"/>
      <c r="K156" s="18"/>
      <c r="L156" s="20"/>
      <c r="M156" s="18"/>
      <c r="N156" s="20"/>
      <c r="O156" s="18"/>
      <c r="P156" s="20"/>
      <c r="Q156" s="18"/>
      <c r="R156" s="20"/>
      <c r="S156" s="18"/>
      <c r="T156" s="20"/>
      <c r="U156" s="16"/>
    </row>
    <row r="157" spans="3:21" ht="12.75">
      <c r="C157" s="18"/>
      <c r="D157" s="16"/>
      <c r="F157" s="16"/>
      <c r="H157" s="16"/>
      <c r="I157" s="58"/>
      <c r="J157" s="20"/>
      <c r="K157" s="18"/>
      <c r="L157" s="20"/>
      <c r="M157" s="18"/>
      <c r="N157" s="20"/>
      <c r="O157" s="18"/>
      <c r="P157" s="20"/>
      <c r="Q157" s="18"/>
      <c r="R157" s="20"/>
      <c r="S157" s="18"/>
      <c r="T157" s="20"/>
      <c r="U157" s="16"/>
    </row>
    <row r="158" spans="3:21" ht="12.75">
      <c r="C158" s="18"/>
      <c r="D158" s="16"/>
      <c r="F158" s="16"/>
      <c r="H158" s="16"/>
      <c r="I158" s="58"/>
      <c r="J158" s="20"/>
      <c r="K158" s="18"/>
      <c r="L158" s="20"/>
      <c r="M158" s="18"/>
      <c r="N158" s="20"/>
      <c r="O158" s="18"/>
      <c r="P158" s="20"/>
      <c r="Q158" s="18"/>
      <c r="R158" s="20"/>
      <c r="S158" s="18"/>
      <c r="T158" s="20"/>
      <c r="U158" s="16"/>
    </row>
    <row r="159" spans="3:21" ht="12.75">
      <c r="C159" s="18"/>
      <c r="D159" s="16"/>
      <c r="F159" s="16"/>
      <c r="H159" s="16"/>
      <c r="I159" s="58"/>
      <c r="J159" s="20"/>
      <c r="K159" s="18"/>
      <c r="L159" s="20"/>
      <c r="M159" s="18"/>
      <c r="N159" s="20"/>
      <c r="O159" s="18"/>
      <c r="P159" s="20"/>
      <c r="Q159" s="18"/>
      <c r="R159" s="20"/>
      <c r="S159" s="18"/>
      <c r="T159" s="20"/>
      <c r="U159" s="16"/>
    </row>
    <row r="160" spans="3:21" ht="12.75">
      <c r="C160" s="18"/>
      <c r="D160" s="16"/>
      <c r="F160" s="16"/>
      <c r="H160" s="16"/>
      <c r="I160" s="58"/>
      <c r="J160" s="20"/>
      <c r="K160" s="18"/>
      <c r="L160" s="20"/>
      <c r="M160" s="18"/>
      <c r="N160" s="20"/>
      <c r="O160" s="18"/>
      <c r="P160" s="20"/>
      <c r="Q160" s="18"/>
      <c r="R160" s="20"/>
      <c r="S160" s="18"/>
      <c r="T160" s="20"/>
      <c r="U160" s="16"/>
    </row>
    <row r="161" spans="3:21" ht="12.75">
      <c r="C161" s="18"/>
      <c r="D161" s="16"/>
      <c r="F161" s="16"/>
      <c r="H161" s="16"/>
      <c r="I161" s="58"/>
      <c r="J161" s="20"/>
      <c r="K161" s="18"/>
      <c r="L161" s="20"/>
      <c r="M161" s="18"/>
      <c r="N161" s="20"/>
      <c r="O161" s="18"/>
      <c r="P161" s="20"/>
      <c r="Q161" s="18"/>
      <c r="R161" s="20"/>
      <c r="S161" s="18"/>
      <c r="T161" s="20"/>
      <c r="U161" s="16"/>
    </row>
    <row r="162" spans="3:21" ht="12.75">
      <c r="C162" s="18"/>
      <c r="D162" s="16"/>
      <c r="F162" s="16"/>
      <c r="H162" s="16"/>
      <c r="I162" s="58"/>
      <c r="J162" s="20"/>
      <c r="K162" s="18"/>
      <c r="L162" s="20"/>
      <c r="M162" s="18"/>
      <c r="N162" s="20"/>
      <c r="O162" s="18"/>
      <c r="P162" s="20"/>
      <c r="Q162" s="18"/>
      <c r="R162" s="20"/>
      <c r="S162" s="18"/>
      <c r="T162" s="20"/>
      <c r="U162" s="16"/>
    </row>
    <row r="163" spans="3:21" ht="12.75">
      <c r="C163" s="18"/>
      <c r="D163" s="16"/>
      <c r="F163" s="16"/>
      <c r="H163" s="16"/>
      <c r="I163" s="58"/>
      <c r="J163" s="20"/>
      <c r="K163" s="18"/>
      <c r="L163" s="20"/>
      <c r="M163" s="18"/>
      <c r="N163" s="20"/>
      <c r="O163" s="18"/>
      <c r="P163" s="20"/>
      <c r="Q163" s="18"/>
      <c r="R163" s="20"/>
      <c r="S163" s="18"/>
      <c r="T163" s="20"/>
      <c r="U163" s="16"/>
    </row>
    <row r="164" spans="3:21" ht="12.75">
      <c r="C164" s="18"/>
      <c r="D164" s="16"/>
      <c r="F164" s="16"/>
      <c r="H164" s="16"/>
      <c r="I164" s="58"/>
      <c r="J164" s="20"/>
      <c r="K164" s="18"/>
      <c r="L164" s="20"/>
      <c r="M164" s="18"/>
      <c r="N164" s="20"/>
      <c r="O164" s="18"/>
      <c r="P164" s="20"/>
      <c r="Q164" s="18"/>
      <c r="R164" s="20"/>
      <c r="S164" s="18"/>
      <c r="T164" s="20"/>
      <c r="U164" s="16"/>
    </row>
    <row r="165" spans="3:21" ht="12.75">
      <c r="C165" s="18"/>
      <c r="D165" s="16"/>
      <c r="F165" s="16"/>
      <c r="H165" s="16"/>
      <c r="I165" s="58"/>
      <c r="J165" s="20"/>
      <c r="K165" s="18"/>
      <c r="L165" s="20"/>
      <c r="M165" s="18"/>
      <c r="N165" s="20"/>
      <c r="O165" s="18"/>
      <c r="P165" s="20"/>
      <c r="Q165" s="18"/>
      <c r="R165" s="20"/>
      <c r="S165" s="18"/>
      <c r="T165" s="20"/>
      <c r="U165" s="16"/>
    </row>
    <row r="166" spans="3:21" ht="12.75">
      <c r="C166" s="18"/>
      <c r="D166" s="16"/>
      <c r="F166" s="16"/>
      <c r="H166" s="16"/>
      <c r="I166" s="58"/>
      <c r="J166" s="20"/>
      <c r="K166" s="18"/>
      <c r="L166" s="20"/>
      <c r="M166" s="18"/>
      <c r="N166" s="20"/>
      <c r="O166" s="18"/>
      <c r="P166" s="20"/>
      <c r="Q166" s="18"/>
      <c r="R166" s="20"/>
      <c r="S166" s="18"/>
      <c r="T166" s="20"/>
      <c r="U166" s="16"/>
    </row>
    <row r="167" spans="3:21" ht="12.75">
      <c r="C167" s="18"/>
      <c r="D167" s="16"/>
      <c r="F167" s="16"/>
      <c r="H167" s="16"/>
      <c r="I167" s="58"/>
      <c r="J167" s="20"/>
      <c r="K167" s="18"/>
      <c r="L167" s="20"/>
      <c r="M167" s="18"/>
      <c r="N167" s="20"/>
      <c r="O167" s="18"/>
      <c r="P167" s="20"/>
      <c r="Q167" s="18"/>
      <c r="R167" s="20"/>
      <c r="S167" s="18"/>
      <c r="T167" s="20"/>
      <c r="U167" s="16"/>
    </row>
    <row r="168" spans="3:21" ht="12.75">
      <c r="C168" s="18"/>
      <c r="D168" s="16"/>
      <c r="F168" s="16"/>
      <c r="H168" s="16"/>
      <c r="I168" s="58"/>
      <c r="J168" s="20"/>
      <c r="K168" s="18"/>
      <c r="L168" s="20"/>
      <c r="M168" s="18"/>
      <c r="N168" s="20"/>
      <c r="O168" s="18"/>
      <c r="P168" s="20"/>
      <c r="Q168" s="18"/>
      <c r="R168" s="20"/>
      <c r="S168" s="18"/>
      <c r="T168" s="20"/>
      <c r="U168" s="16"/>
    </row>
    <row r="169" spans="3:21" ht="12.75">
      <c r="C169" s="18"/>
      <c r="D169" s="16"/>
      <c r="F169" s="16"/>
      <c r="H169" s="16"/>
      <c r="I169" s="58"/>
      <c r="J169" s="20"/>
      <c r="K169" s="18"/>
      <c r="L169" s="20"/>
      <c r="M169" s="18"/>
      <c r="N169" s="20"/>
      <c r="O169" s="18"/>
      <c r="P169" s="20"/>
      <c r="Q169" s="18"/>
      <c r="R169" s="20"/>
      <c r="S169" s="18"/>
      <c r="T169" s="20"/>
      <c r="U169" s="16"/>
    </row>
    <row r="170" spans="3:21" ht="12.75">
      <c r="C170" s="18"/>
      <c r="D170" s="16"/>
      <c r="F170" s="16"/>
      <c r="H170" s="16"/>
      <c r="I170" s="58"/>
      <c r="J170" s="20"/>
      <c r="K170" s="18"/>
      <c r="L170" s="20"/>
      <c r="M170" s="18"/>
      <c r="N170" s="20"/>
      <c r="O170" s="18"/>
      <c r="P170" s="20"/>
      <c r="Q170" s="18"/>
      <c r="R170" s="20"/>
      <c r="S170" s="18"/>
      <c r="T170" s="20"/>
      <c r="U170" s="16"/>
    </row>
    <row r="171" spans="3:21" ht="12.75">
      <c r="C171" s="18"/>
      <c r="D171" s="16"/>
      <c r="F171" s="16"/>
      <c r="H171" s="16"/>
      <c r="I171" s="58"/>
      <c r="J171" s="20"/>
      <c r="K171" s="18"/>
      <c r="L171" s="20"/>
      <c r="M171" s="18"/>
      <c r="N171" s="20"/>
      <c r="O171" s="18"/>
      <c r="P171" s="20"/>
      <c r="Q171" s="18"/>
      <c r="R171" s="20"/>
      <c r="S171" s="18"/>
      <c r="T171" s="20"/>
      <c r="U171" s="16"/>
    </row>
    <row r="172" spans="3:21" ht="12.75">
      <c r="C172" s="18"/>
      <c r="D172" s="16"/>
      <c r="F172" s="16"/>
      <c r="H172" s="16"/>
      <c r="I172" s="58"/>
      <c r="J172" s="20"/>
      <c r="K172" s="18"/>
      <c r="L172" s="20"/>
      <c r="M172" s="18"/>
      <c r="N172" s="20"/>
      <c r="O172" s="18"/>
      <c r="P172" s="20"/>
      <c r="Q172" s="18"/>
      <c r="R172" s="20"/>
      <c r="S172" s="18"/>
      <c r="T172" s="20"/>
      <c r="U172" s="16"/>
    </row>
    <row r="173" spans="3:21" ht="12.75">
      <c r="C173" s="18"/>
      <c r="D173" s="16"/>
      <c r="F173" s="16"/>
      <c r="H173" s="16"/>
      <c r="I173" s="58"/>
      <c r="J173" s="20"/>
      <c r="K173" s="18"/>
      <c r="L173" s="20"/>
      <c r="M173" s="18"/>
      <c r="N173" s="20"/>
      <c r="O173" s="18"/>
      <c r="P173" s="20"/>
      <c r="Q173" s="18"/>
      <c r="R173" s="20"/>
      <c r="S173" s="18"/>
      <c r="T173" s="20"/>
      <c r="U173" s="16"/>
    </row>
    <row r="174" spans="3:21" ht="12.75">
      <c r="C174" s="18"/>
      <c r="D174" s="16"/>
      <c r="F174" s="16"/>
      <c r="H174" s="16"/>
      <c r="I174" s="58"/>
      <c r="J174" s="20"/>
      <c r="K174" s="18"/>
      <c r="L174" s="20"/>
      <c r="M174" s="18"/>
      <c r="N174" s="20"/>
      <c r="O174" s="18"/>
      <c r="P174" s="20"/>
      <c r="Q174" s="18"/>
      <c r="R174" s="20"/>
      <c r="S174" s="18"/>
      <c r="T174" s="20"/>
      <c r="U174" s="16"/>
    </row>
    <row r="175" spans="3:21" ht="12.75">
      <c r="C175" s="18"/>
      <c r="D175" s="16"/>
      <c r="F175" s="16"/>
      <c r="H175" s="16"/>
      <c r="I175" s="58"/>
      <c r="J175" s="20"/>
      <c r="K175" s="18"/>
      <c r="L175" s="20"/>
      <c r="M175" s="18"/>
      <c r="N175" s="20"/>
      <c r="O175" s="18"/>
      <c r="P175" s="20"/>
      <c r="Q175" s="18"/>
      <c r="R175" s="20"/>
      <c r="S175" s="18"/>
      <c r="T175" s="20"/>
      <c r="U175" s="16"/>
    </row>
    <row r="176" spans="3:21" ht="12.75">
      <c r="C176" s="18"/>
      <c r="D176" s="16"/>
      <c r="F176" s="16"/>
      <c r="H176" s="16"/>
      <c r="I176" s="58"/>
      <c r="J176" s="20"/>
      <c r="K176" s="18"/>
      <c r="L176" s="20"/>
      <c r="M176" s="18"/>
      <c r="N176" s="20"/>
      <c r="O176" s="18"/>
      <c r="P176" s="20"/>
      <c r="Q176" s="18"/>
      <c r="R176" s="20"/>
      <c r="S176" s="18"/>
      <c r="T176" s="20"/>
      <c r="U176" s="16"/>
    </row>
    <row r="177" spans="3:21" ht="12.75">
      <c r="C177" s="18"/>
      <c r="D177" s="16"/>
      <c r="F177" s="16"/>
      <c r="H177" s="16"/>
      <c r="I177" s="58"/>
      <c r="J177" s="20"/>
      <c r="K177" s="18"/>
      <c r="L177" s="20"/>
      <c r="M177" s="18"/>
      <c r="N177" s="20"/>
      <c r="O177" s="18"/>
      <c r="P177" s="20"/>
      <c r="Q177" s="18"/>
      <c r="R177" s="20"/>
      <c r="S177" s="18"/>
      <c r="T177" s="20"/>
      <c r="U177" s="16"/>
    </row>
    <row r="178" spans="3:21" ht="12.75">
      <c r="C178" s="18"/>
      <c r="D178" s="16"/>
      <c r="F178" s="16"/>
      <c r="H178" s="16"/>
      <c r="I178" s="58"/>
      <c r="J178" s="20"/>
      <c r="K178" s="18"/>
      <c r="L178" s="20"/>
      <c r="M178" s="18"/>
      <c r="N178" s="20"/>
      <c r="O178" s="18"/>
      <c r="P178" s="20"/>
      <c r="Q178" s="18"/>
      <c r="R178" s="20"/>
      <c r="S178" s="18"/>
      <c r="T178" s="20"/>
      <c r="U178" s="16"/>
    </row>
    <row r="179" spans="3:21" ht="12.75">
      <c r="C179" s="18"/>
      <c r="D179" s="16"/>
      <c r="F179" s="16"/>
      <c r="H179" s="16"/>
      <c r="I179" s="58"/>
      <c r="J179" s="20"/>
      <c r="K179" s="18"/>
      <c r="L179" s="20"/>
      <c r="M179" s="18"/>
      <c r="N179" s="20"/>
      <c r="O179" s="18"/>
      <c r="P179" s="20"/>
      <c r="Q179" s="18"/>
      <c r="R179" s="20"/>
      <c r="S179" s="18"/>
      <c r="T179" s="20"/>
      <c r="U179" s="16"/>
    </row>
    <row r="180" spans="3:21" ht="12.75">
      <c r="C180" s="18"/>
      <c r="D180" s="16"/>
      <c r="F180" s="16"/>
      <c r="H180" s="16"/>
      <c r="I180" s="58"/>
      <c r="J180" s="20"/>
      <c r="K180" s="18"/>
      <c r="L180" s="20"/>
      <c r="M180" s="18"/>
      <c r="N180" s="20"/>
      <c r="O180" s="18"/>
      <c r="P180" s="20"/>
      <c r="Q180" s="18"/>
      <c r="R180" s="20"/>
      <c r="S180" s="18"/>
      <c r="T180" s="20"/>
      <c r="U180" s="16"/>
    </row>
    <row r="181" spans="3:21" ht="12.75">
      <c r="C181" s="18"/>
      <c r="D181" s="16"/>
      <c r="F181" s="16"/>
      <c r="H181" s="16"/>
      <c r="I181" s="58"/>
      <c r="J181" s="20"/>
      <c r="K181" s="18"/>
      <c r="L181" s="20"/>
      <c r="M181" s="18"/>
      <c r="N181" s="20"/>
      <c r="O181" s="18"/>
      <c r="P181" s="20"/>
      <c r="Q181" s="18"/>
      <c r="R181" s="20"/>
      <c r="S181" s="18"/>
      <c r="T181" s="20"/>
      <c r="U181" s="16"/>
    </row>
    <row r="182" spans="3:21" ht="12.75">
      <c r="C182" s="18"/>
      <c r="D182" s="16"/>
      <c r="F182" s="16"/>
      <c r="H182" s="16"/>
      <c r="I182" s="58"/>
      <c r="J182" s="20"/>
      <c r="K182" s="18"/>
      <c r="L182" s="20"/>
      <c r="M182" s="18"/>
      <c r="N182" s="20"/>
      <c r="O182" s="18"/>
      <c r="P182" s="20"/>
      <c r="Q182" s="18"/>
      <c r="R182" s="20"/>
      <c r="S182" s="18"/>
      <c r="T182" s="20"/>
      <c r="U182" s="16"/>
    </row>
    <row r="183" spans="3:21" ht="12.75">
      <c r="C183" s="18"/>
      <c r="D183" s="16"/>
      <c r="F183" s="16"/>
      <c r="H183" s="16"/>
      <c r="I183" s="58"/>
      <c r="J183" s="20"/>
      <c r="K183" s="18"/>
      <c r="L183" s="20"/>
      <c r="M183" s="18"/>
      <c r="N183" s="20"/>
      <c r="O183" s="18"/>
      <c r="P183" s="20"/>
      <c r="Q183" s="18"/>
      <c r="R183" s="20"/>
      <c r="S183" s="18"/>
      <c r="T183" s="20"/>
      <c r="U183" s="16"/>
    </row>
    <row r="184" spans="3:21" ht="12.75">
      <c r="C184" s="18"/>
      <c r="D184" s="16"/>
      <c r="F184" s="16"/>
      <c r="H184" s="16"/>
      <c r="I184" s="58"/>
      <c r="J184" s="20"/>
      <c r="K184" s="18"/>
      <c r="L184" s="20"/>
      <c r="M184" s="18"/>
      <c r="N184" s="20"/>
      <c r="O184" s="18"/>
      <c r="P184" s="20"/>
      <c r="Q184" s="18"/>
      <c r="R184" s="20"/>
      <c r="S184" s="18"/>
      <c r="T184" s="20"/>
      <c r="U184" s="16"/>
    </row>
    <row r="185" spans="3:21" ht="12.75">
      <c r="C185" s="18"/>
      <c r="D185" s="16"/>
      <c r="F185" s="16"/>
      <c r="H185" s="16"/>
      <c r="I185" s="58"/>
      <c r="J185" s="20"/>
      <c r="K185" s="18"/>
      <c r="L185" s="20"/>
      <c r="M185" s="18"/>
      <c r="N185" s="20"/>
      <c r="O185" s="18"/>
      <c r="P185" s="20"/>
      <c r="Q185" s="18"/>
      <c r="R185" s="20"/>
      <c r="S185" s="18"/>
      <c r="T185" s="20"/>
      <c r="U185" s="16"/>
    </row>
    <row r="186" spans="3:21" ht="12.75">
      <c r="C186" s="18"/>
      <c r="D186" s="16"/>
      <c r="F186" s="16"/>
      <c r="H186" s="16"/>
      <c r="I186" s="58"/>
      <c r="J186" s="20"/>
      <c r="K186" s="18"/>
      <c r="L186" s="20"/>
      <c r="M186" s="18"/>
      <c r="N186" s="20"/>
      <c r="O186" s="18"/>
      <c r="P186" s="20"/>
      <c r="Q186" s="18"/>
      <c r="R186" s="20"/>
      <c r="S186" s="18"/>
      <c r="T186" s="20"/>
      <c r="U186" s="16"/>
    </row>
    <row r="187" spans="3:21" ht="12.75">
      <c r="C187" s="18"/>
      <c r="D187" s="16"/>
      <c r="F187" s="16"/>
      <c r="H187" s="16"/>
      <c r="I187" s="58"/>
      <c r="J187" s="20"/>
      <c r="K187" s="18"/>
      <c r="L187" s="20"/>
      <c r="M187" s="18"/>
      <c r="N187" s="20"/>
      <c r="O187" s="18"/>
      <c r="P187" s="20"/>
      <c r="Q187" s="18"/>
      <c r="R187" s="20"/>
      <c r="S187" s="18"/>
      <c r="T187" s="20"/>
      <c r="U187" s="16"/>
    </row>
    <row r="188" spans="3:21" ht="12.75">
      <c r="C188" s="18"/>
      <c r="D188" s="16"/>
      <c r="F188" s="16"/>
      <c r="H188" s="16"/>
      <c r="I188" s="58"/>
      <c r="J188" s="20"/>
      <c r="K188" s="18"/>
      <c r="L188" s="20"/>
      <c r="M188" s="18"/>
      <c r="N188" s="20"/>
      <c r="O188" s="18"/>
      <c r="P188" s="20"/>
      <c r="Q188" s="18"/>
      <c r="R188" s="20"/>
      <c r="S188" s="18"/>
      <c r="T188" s="20"/>
      <c r="U188" s="16"/>
    </row>
    <row r="189" spans="3:21" ht="12.75">
      <c r="C189" s="18"/>
      <c r="D189" s="16"/>
      <c r="F189" s="16"/>
      <c r="H189" s="16"/>
      <c r="I189" s="58"/>
      <c r="J189" s="20"/>
      <c r="K189" s="18"/>
      <c r="L189" s="20"/>
      <c r="M189" s="18"/>
      <c r="N189" s="20"/>
      <c r="O189" s="18"/>
      <c r="P189" s="20"/>
      <c r="Q189" s="18"/>
      <c r="R189" s="20"/>
      <c r="S189" s="18"/>
      <c r="T189" s="20"/>
      <c r="U189" s="16"/>
    </row>
    <row r="190" spans="3:21" ht="12.75">
      <c r="C190" s="18"/>
      <c r="D190" s="16"/>
      <c r="F190" s="16"/>
      <c r="H190" s="16"/>
      <c r="I190" s="58"/>
      <c r="J190" s="20"/>
      <c r="K190" s="18"/>
      <c r="L190" s="20"/>
      <c r="M190" s="18"/>
      <c r="N190" s="20"/>
      <c r="O190" s="18"/>
      <c r="P190" s="20"/>
      <c r="Q190" s="18"/>
      <c r="R190" s="20"/>
      <c r="S190" s="18"/>
      <c r="T190" s="20"/>
      <c r="U190" s="16"/>
    </row>
    <row r="191" spans="3:21" ht="12.75">
      <c r="C191" s="18"/>
      <c r="D191" s="16"/>
      <c r="F191" s="16"/>
      <c r="H191" s="16"/>
      <c r="I191" s="58"/>
      <c r="J191" s="20"/>
      <c r="K191" s="18"/>
      <c r="L191" s="20"/>
      <c r="M191" s="18"/>
      <c r="N191" s="20"/>
      <c r="O191" s="18"/>
      <c r="P191" s="20"/>
      <c r="Q191" s="18"/>
      <c r="R191" s="20"/>
      <c r="S191" s="18"/>
      <c r="T191" s="20"/>
      <c r="U191" s="16"/>
    </row>
    <row r="192" spans="3:21" ht="12.75">
      <c r="C192" s="18"/>
      <c r="D192" s="16"/>
      <c r="F192" s="16"/>
      <c r="H192" s="16"/>
      <c r="I192" s="58"/>
      <c r="J192" s="20"/>
      <c r="K192" s="18"/>
      <c r="L192" s="20"/>
      <c r="M192" s="18"/>
      <c r="N192" s="20"/>
      <c r="O192" s="18"/>
      <c r="P192" s="20"/>
      <c r="Q192" s="18"/>
      <c r="R192" s="20"/>
      <c r="S192" s="18"/>
      <c r="T192" s="20"/>
      <c r="U192" s="16"/>
    </row>
    <row r="193" spans="3:21" ht="12.75">
      <c r="C193" s="18"/>
      <c r="D193" s="16"/>
      <c r="F193" s="16"/>
      <c r="H193" s="16"/>
      <c r="I193" s="58"/>
      <c r="J193" s="20"/>
      <c r="K193" s="18"/>
      <c r="L193" s="20"/>
      <c r="M193" s="18"/>
      <c r="N193" s="20"/>
      <c r="O193" s="18"/>
      <c r="P193" s="20"/>
      <c r="Q193" s="18"/>
      <c r="R193" s="20"/>
      <c r="S193" s="18"/>
      <c r="T193" s="20"/>
      <c r="U193" s="16"/>
    </row>
    <row r="194" spans="3:21" ht="12.75">
      <c r="C194" s="18"/>
      <c r="D194" s="16"/>
      <c r="F194" s="16"/>
      <c r="H194" s="16"/>
      <c r="I194" s="58"/>
      <c r="J194" s="20"/>
      <c r="K194" s="18"/>
      <c r="L194" s="20"/>
      <c r="M194" s="18"/>
      <c r="N194" s="20"/>
      <c r="O194" s="18"/>
      <c r="P194" s="20"/>
      <c r="Q194" s="18"/>
      <c r="R194" s="20"/>
      <c r="S194" s="18"/>
      <c r="T194" s="20"/>
      <c r="U194" s="16"/>
    </row>
    <row r="195" spans="3:21" ht="12.75">
      <c r="C195" s="18"/>
      <c r="D195" s="16"/>
      <c r="F195" s="16"/>
      <c r="H195" s="16"/>
      <c r="I195" s="58"/>
      <c r="J195" s="20"/>
      <c r="K195" s="18"/>
      <c r="L195" s="20"/>
      <c r="M195" s="18"/>
      <c r="N195" s="20"/>
      <c r="O195" s="18"/>
      <c r="P195" s="20"/>
      <c r="Q195" s="18"/>
      <c r="R195" s="20"/>
      <c r="S195" s="18"/>
      <c r="T195" s="20"/>
      <c r="U195" s="16"/>
    </row>
    <row r="196" spans="3:21" ht="12.75">
      <c r="C196" s="18"/>
      <c r="D196" s="16"/>
      <c r="F196" s="16"/>
      <c r="H196" s="16"/>
      <c r="I196" s="58"/>
      <c r="J196" s="20"/>
      <c r="K196" s="18"/>
      <c r="L196" s="20"/>
      <c r="M196" s="18"/>
      <c r="N196" s="20"/>
      <c r="O196" s="18"/>
      <c r="P196" s="20"/>
      <c r="Q196" s="18"/>
      <c r="R196" s="20"/>
      <c r="S196" s="18"/>
      <c r="T196" s="20"/>
      <c r="U196" s="16"/>
    </row>
    <row r="197" spans="3:21" ht="12.75">
      <c r="C197" s="18"/>
      <c r="D197" s="16"/>
      <c r="F197" s="16"/>
      <c r="H197" s="16"/>
      <c r="I197" s="58"/>
      <c r="J197" s="20"/>
      <c r="K197" s="18"/>
      <c r="L197" s="20"/>
      <c r="M197" s="18"/>
      <c r="N197" s="20"/>
      <c r="O197" s="18"/>
      <c r="P197" s="20"/>
      <c r="Q197" s="18"/>
      <c r="R197" s="20"/>
      <c r="S197" s="18"/>
      <c r="T197" s="20"/>
      <c r="U197" s="16"/>
    </row>
    <row r="198" spans="3:21" ht="12.75">
      <c r="C198" s="18"/>
      <c r="D198" s="16"/>
      <c r="F198" s="16"/>
      <c r="H198" s="16"/>
      <c r="I198" s="58"/>
      <c r="J198" s="20"/>
      <c r="K198" s="18"/>
      <c r="L198" s="20"/>
      <c r="M198" s="18"/>
      <c r="N198" s="20"/>
      <c r="O198" s="18"/>
      <c r="P198" s="20"/>
      <c r="Q198" s="18"/>
      <c r="R198" s="20"/>
      <c r="S198" s="18"/>
      <c r="T198" s="20"/>
      <c r="U198" s="16"/>
    </row>
    <row r="199" spans="3:21" ht="12.75">
      <c r="C199" s="18"/>
      <c r="D199" s="16"/>
      <c r="F199" s="16"/>
      <c r="H199" s="16"/>
      <c r="I199" s="58"/>
      <c r="J199" s="20"/>
      <c r="K199" s="18"/>
      <c r="L199" s="20"/>
      <c r="M199" s="18"/>
      <c r="N199" s="20"/>
      <c r="O199" s="18"/>
      <c r="P199" s="20"/>
      <c r="Q199" s="18"/>
      <c r="R199" s="20"/>
      <c r="S199" s="18"/>
      <c r="T199" s="20"/>
      <c r="U199" s="16"/>
    </row>
    <row r="200" spans="3:21" ht="12.75">
      <c r="C200" s="18"/>
      <c r="D200" s="16"/>
      <c r="F200" s="16"/>
      <c r="H200" s="16"/>
      <c r="I200" s="58"/>
      <c r="J200" s="20"/>
      <c r="K200" s="18"/>
      <c r="L200" s="20"/>
      <c r="M200" s="18"/>
      <c r="N200" s="20"/>
      <c r="O200" s="18"/>
      <c r="P200" s="20"/>
      <c r="Q200" s="18"/>
      <c r="R200" s="20"/>
      <c r="S200" s="18"/>
      <c r="T200" s="20"/>
      <c r="U200" s="16"/>
    </row>
    <row r="201" spans="3:21" ht="12.75">
      <c r="C201" s="18"/>
      <c r="D201" s="16"/>
      <c r="F201" s="16"/>
      <c r="H201" s="16"/>
      <c r="I201" s="58"/>
      <c r="J201" s="20"/>
      <c r="K201" s="18"/>
      <c r="L201" s="20"/>
      <c r="M201" s="18"/>
      <c r="N201" s="20"/>
      <c r="O201" s="18"/>
      <c r="P201" s="20"/>
      <c r="Q201" s="18"/>
      <c r="R201" s="20"/>
      <c r="S201" s="18"/>
      <c r="T201" s="20"/>
      <c r="U201" s="16"/>
    </row>
    <row r="202" spans="3:21" ht="12.75">
      <c r="C202" s="18"/>
      <c r="D202" s="16"/>
      <c r="F202" s="16"/>
      <c r="H202" s="16"/>
      <c r="I202" s="58"/>
      <c r="J202" s="20"/>
      <c r="K202" s="18"/>
      <c r="L202" s="20"/>
      <c r="M202" s="18"/>
      <c r="N202" s="20"/>
      <c r="O202" s="18"/>
      <c r="P202" s="20"/>
      <c r="Q202" s="18"/>
      <c r="R202" s="20"/>
      <c r="S202" s="18"/>
      <c r="T202" s="20"/>
      <c r="U202" s="16"/>
    </row>
    <row r="203" spans="3:21" ht="12.75">
      <c r="C203" s="18"/>
      <c r="D203" s="16"/>
      <c r="F203" s="16"/>
      <c r="H203" s="16"/>
      <c r="I203" s="58"/>
      <c r="J203" s="20"/>
      <c r="K203" s="18"/>
      <c r="L203" s="20"/>
      <c r="M203" s="18"/>
      <c r="N203" s="20"/>
      <c r="O203" s="18"/>
      <c r="P203" s="20"/>
      <c r="Q203" s="18"/>
      <c r="R203" s="20"/>
      <c r="S203" s="18"/>
      <c r="T203" s="20"/>
      <c r="U203" s="16"/>
    </row>
    <row r="204" spans="3:21" ht="12.75">
      <c r="C204" s="18"/>
      <c r="D204" s="16"/>
      <c r="F204" s="16"/>
      <c r="H204" s="16"/>
      <c r="I204" s="58"/>
      <c r="J204" s="20"/>
      <c r="K204" s="18"/>
      <c r="L204" s="20"/>
      <c r="M204" s="18"/>
      <c r="N204" s="20"/>
      <c r="O204" s="18"/>
      <c r="P204" s="20"/>
      <c r="Q204" s="18"/>
      <c r="R204" s="20"/>
      <c r="S204" s="18"/>
      <c r="T204" s="20"/>
      <c r="U204" s="16"/>
    </row>
    <row r="205" spans="3:21" ht="12.75">
      <c r="C205" s="18"/>
      <c r="D205" s="16"/>
      <c r="F205" s="16"/>
      <c r="H205" s="16"/>
      <c r="I205" s="58"/>
      <c r="J205" s="20"/>
      <c r="K205" s="18"/>
      <c r="L205" s="20"/>
      <c r="M205" s="18"/>
      <c r="N205" s="20"/>
      <c r="O205" s="18"/>
      <c r="P205" s="20"/>
      <c r="Q205" s="18"/>
      <c r="R205" s="20"/>
      <c r="S205" s="18"/>
      <c r="T205" s="20"/>
      <c r="U205" s="16"/>
    </row>
    <row r="206" spans="3:21" ht="12.75">
      <c r="C206" s="18"/>
      <c r="D206" s="16"/>
      <c r="F206" s="16"/>
      <c r="H206" s="16"/>
      <c r="I206" s="58"/>
      <c r="J206" s="20"/>
      <c r="K206" s="18"/>
      <c r="L206" s="20"/>
      <c r="M206" s="18"/>
      <c r="N206" s="20"/>
      <c r="O206" s="18"/>
      <c r="P206" s="20"/>
      <c r="Q206" s="18"/>
      <c r="R206" s="20"/>
      <c r="S206" s="18"/>
      <c r="T206" s="20"/>
      <c r="U206" s="16"/>
    </row>
    <row r="207" spans="3:21" ht="12.75">
      <c r="C207" s="18"/>
      <c r="D207" s="16"/>
      <c r="F207" s="16"/>
      <c r="H207" s="16"/>
      <c r="I207" s="58"/>
      <c r="J207" s="20"/>
      <c r="K207" s="18"/>
      <c r="L207" s="20"/>
      <c r="M207" s="18"/>
      <c r="N207" s="20"/>
      <c r="O207" s="18"/>
      <c r="P207" s="20"/>
      <c r="Q207" s="18"/>
      <c r="R207" s="20"/>
      <c r="S207" s="18"/>
      <c r="T207" s="20"/>
      <c r="U207" s="16"/>
    </row>
    <row r="208" spans="3:21" ht="12.75">
      <c r="C208" s="18"/>
      <c r="D208" s="16"/>
      <c r="F208" s="16"/>
      <c r="H208" s="16"/>
      <c r="I208" s="58"/>
      <c r="J208" s="20"/>
      <c r="K208" s="18"/>
      <c r="L208" s="20"/>
      <c r="M208" s="18"/>
      <c r="N208" s="20"/>
      <c r="O208" s="18"/>
      <c r="P208" s="20"/>
      <c r="Q208" s="18"/>
      <c r="R208" s="20"/>
      <c r="S208" s="18"/>
      <c r="T208" s="20"/>
      <c r="U208" s="16"/>
    </row>
    <row r="209" spans="3:21" ht="12.75">
      <c r="C209" s="18"/>
      <c r="D209" s="16"/>
      <c r="F209" s="16"/>
      <c r="H209" s="16"/>
      <c r="I209" s="58"/>
      <c r="J209" s="20"/>
      <c r="K209" s="18"/>
      <c r="L209" s="20"/>
      <c r="M209" s="18"/>
      <c r="N209" s="20"/>
      <c r="O209" s="18"/>
      <c r="P209" s="20"/>
      <c r="Q209" s="18"/>
      <c r="R209" s="20"/>
      <c r="S209" s="18"/>
      <c r="T209" s="20"/>
      <c r="U209" s="16"/>
    </row>
    <row r="210" spans="3:21" ht="12.75">
      <c r="C210" s="18"/>
      <c r="D210" s="16"/>
      <c r="F210" s="16"/>
      <c r="H210" s="16"/>
      <c r="I210" s="58"/>
      <c r="J210" s="20"/>
      <c r="K210" s="18"/>
      <c r="L210" s="20"/>
      <c r="M210" s="18"/>
      <c r="N210" s="20"/>
      <c r="O210" s="18"/>
      <c r="P210" s="20"/>
      <c r="Q210" s="18"/>
      <c r="R210" s="20"/>
      <c r="S210" s="18"/>
      <c r="T210" s="20"/>
      <c r="U210" s="16"/>
    </row>
    <row r="211" spans="3:21" ht="12.75">
      <c r="C211" s="18"/>
      <c r="D211" s="16"/>
      <c r="F211" s="16"/>
      <c r="H211" s="16"/>
      <c r="I211" s="58"/>
      <c r="J211" s="20"/>
      <c r="K211" s="18"/>
      <c r="L211" s="20"/>
      <c r="M211" s="18"/>
      <c r="N211" s="20"/>
      <c r="O211" s="18"/>
      <c r="P211" s="20"/>
      <c r="Q211" s="18"/>
      <c r="R211" s="20"/>
      <c r="S211" s="18"/>
      <c r="T211" s="20"/>
      <c r="U211" s="16"/>
    </row>
    <row r="212" spans="3:21" ht="12.75">
      <c r="C212" s="18"/>
      <c r="D212" s="16"/>
      <c r="F212" s="16"/>
      <c r="H212" s="16"/>
      <c r="I212" s="58"/>
      <c r="J212" s="20"/>
      <c r="K212" s="18"/>
      <c r="L212" s="20"/>
      <c r="M212" s="18"/>
      <c r="N212" s="20"/>
      <c r="O212" s="18"/>
      <c r="P212" s="20"/>
      <c r="Q212" s="18"/>
      <c r="R212" s="20"/>
      <c r="S212" s="18"/>
      <c r="T212" s="20"/>
      <c r="U212" s="16"/>
    </row>
    <row r="213" spans="3:21" ht="12.75">
      <c r="C213" s="18"/>
      <c r="D213" s="16"/>
      <c r="F213" s="16"/>
      <c r="H213" s="16"/>
      <c r="I213" s="58"/>
      <c r="J213" s="20"/>
      <c r="K213" s="18"/>
      <c r="L213" s="20"/>
      <c r="M213" s="18"/>
      <c r="N213" s="20"/>
      <c r="O213" s="18"/>
      <c r="P213" s="20"/>
      <c r="Q213" s="18"/>
      <c r="R213" s="20"/>
      <c r="S213" s="18"/>
      <c r="T213" s="20"/>
      <c r="U213" s="16"/>
    </row>
    <row r="214" spans="3:21" ht="12.75">
      <c r="C214" s="18"/>
      <c r="D214" s="16"/>
      <c r="F214" s="16"/>
      <c r="H214" s="16"/>
      <c r="I214" s="58"/>
      <c r="J214" s="20"/>
      <c r="K214" s="18"/>
      <c r="L214" s="20"/>
      <c r="M214" s="18"/>
      <c r="N214" s="20"/>
      <c r="O214" s="18"/>
      <c r="P214" s="20"/>
      <c r="Q214" s="18"/>
      <c r="R214" s="20"/>
      <c r="S214" s="18"/>
      <c r="T214" s="20"/>
      <c r="U214" s="16"/>
    </row>
    <row r="215" spans="3:21" ht="12.75">
      <c r="C215" s="18"/>
      <c r="D215" s="16"/>
      <c r="F215" s="16"/>
      <c r="H215" s="16"/>
      <c r="I215" s="58"/>
      <c r="J215" s="20"/>
      <c r="K215" s="18"/>
      <c r="L215" s="20"/>
      <c r="M215" s="18"/>
      <c r="N215" s="20"/>
      <c r="O215" s="18"/>
      <c r="P215" s="20"/>
      <c r="Q215" s="18"/>
      <c r="R215" s="20"/>
      <c r="S215" s="18"/>
      <c r="T215" s="20"/>
      <c r="U215" s="16"/>
    </row>
    <row r="216" spans="3:21" ht="12.75">
      <c r="C216" s="18"/>
      <c r="D216" s="16"/>
      <c r="F216" s="16"/>
      <c r="H216" s="16"/>
      <c r="I216" s="58"/>
      <c r="J216" s="20"/>
      <c r="K216" s="18"/>
      <c r="L216" s="20"/>
      <c r="M216" s="18"/>
      <c r="N216" s="20"/>
      <c r="O216" s="18"/>
      <c r="P216" s="20"/>
      <c r="Q216" s="18"/>
      <c r="R216" s="20"/>
      <c r="S216" s="18"/>
      <c r="T216" s="20"/>
      <c r="U216" s="16"/>
    </row>
    <row r="217" spans="3:21" ht="12.75">
      <c r="C217" s="18"/>
      <c r="D217" s="16"/>
      <c r="F217" s="16"/>
      <c r="H217" s="16"/>
      <c r="I217" s="58"/>
      <c r="J217" s="20"/>
      <c r="K217" s="18"/>
      <c r="L217" s="20"/>
      <c r="M217" s="18"/>
      <c r="N217" s="20"/>
      <c r="O217" s="18"/>
      <c r="P217" s="20"/>
      <c r="Q217" s="18"/>
      <c r="R217" s="20"/>
      <c r="S217" s="18"/>
      <c r="T217" s="20"/>
      <c r="U217" s="16"/>
    </row>
    <row r="218" spans="3:21" ht="12.75">
      <c r="C218" s="18"/>
      <c r="D218" s="16"/>
      <c r="F218" s="16"/>
      <c r="H218" s="16"/>
      <c r="I218" s="58"/>
      <c r="J218" s="20"/>
      <c r="K218" s="18"/>
      <c r="L218" s="20"/>
      <c r="M218" s="18"/>
      <c r="N218" s="20"/>
      <c r="O218" s="18"/>
      <c r="P218" s="20"/>
      <c r="Q218" s="18"/>
      <c r="R218" s="20"/>
      <c r="S218" s="18"/>
      <c r="T218" s="20"/>
      <c r="U218" s="16"/>
    </row>
    <row r="219" spans="3:21" ht="12.75">
      <c r="C219" s="18"/>
      <c r="D219" s="16"/>
      <c r="F219" s="16"/>
      <c r="H219" s="16"/>
      <c r="I219" s="58"/>
      <c r="J219" s="20"/>
      <c r="K219" s="18"/>
      <c r="L219" s="20"/>
      <c r="M219" s="18"/>
      <c r="N219" s="20"/>
      <c r="O219" s="18"/>
      <c r="P219" s="20"/>
      <c r="Q219" s="18"/>
      <c r="R219" s="20"/>
      <c r="S219" s="18"/>
      <c r="T219" s="20"/>
      <c r="U219" s="16"/>
    </row>
    <row r="220" spans="3:21" ht="12.75">
      <c r="C220" s="18"/>
      <c r="D220" s="16"/>
      <c r="F220" s="16"/>
      <c r="H220" s="16"/>
      <c r="I220" s="58"/>
      <c r="J220" s="20"/>
      <c r="K220" s="18"/>
      <c r="L220" s="20"/>
      <c r="M220" s="18"/>
      <c r="N220" s="20"/>
      <c r="O220" s="18"/>
      <c r="P220" s="20"/>
      <c r="Q220" s="18"/>
      <c r="R220" s="20"/>
      <c r="S220" s="18"/>
      <c r="T220" s="20"/>
      <c r="U220" s="16"/>
    </row>
    <row r="221" spans="3:21" ht="12.75">
      <c r="C221" s="18"/>
      <c r="D221" s="16"/>
      <c r="F221" s="16"/>
      <c r="H221" s="16"/>
      <c r="I221" s="58"/>
      <c r="J221" s="20"/>
      <c r="K221" s="18"/>
      <c r="L221" s="20"/>
      <c r="M221" s="18"/>
      <c r="N221" s="20"/>
      <c r="O221" s="18"/>
      <c r="P221" s="20"/>
      <c r="Q221" s="18"/>
      <c r="R221" s="20"/>
      <c r="S221" s="18"/>
      <c r="T221" s="20"/>
      <c r="U221" s="16"/>
    </row>
    <row r="222" spans="3:21" ht="12.75">
      <c r="C222" s="18"/>
      <c r="D222" s="16"/>
      <c r="F222" s="16"/>
      <c r="H222" s="16"/>
      <c r="I222" s="58"/>
      <c r="J222" s="20"/>
      <c r="K222" s="18"/>
      <c r="L222" s="20"/>
      <c r="M222" s="18"/>
      <c r="N222" s="20"/>
      <c r="O222" s="18"/>
      <c r="P222" s="20"/>
      <c r="Q222" s="18"/>
      <c r="R222" s="20"/>
      <c r="S222" s="18"/>
      <c r="T222" s="20"/>
      <c r="U222" s="16"/>
    </row>
    <row r="223" spans="3:21" ht="12.75">
      <c r="C223" s="18"/>
      <c r="D223" s="16"/>
      <c r="F223" s="16"/>
      <c r="H223" s="16"/>
      <c r="I223" s="58"/>
      <c r="J223" s="20"/>
      <c r="K223" s="18"/>
      <c r="L223" s="20"/>
      <c r="M223" s="18"/>
      <c r="N223" s="20"/>
      <c r="O223" s="18"/>
      <c r="P223" s="20"/>
      <c r="Q223" s="18"/>
      <c r="R223" s="20"/>
      <c r="S223" s="18"/>
      <c r="T223" s="20"/>
      <c r="U223" s="16"/>
    </row>
    <row r="224" spans="3:21" ht="12.75">
      <c r="C224" s="18"/>
      <c r="D224" s="16"/>
      <c r="F224" s="16"/>
      <c r="H224" s="16"/>
      <c r="I224" s="58"/>
      <c r="J224" s="20"/>
      <c r="K224" s="18"/>
      <c r="L224" s="20"/>
      <c r="M224" s="18"/>
      <c r="N224" s="20"/>
      <c r="O224" s="18"/>
      <c r="P224" s="20"/>
      <c r="Q224" s="18"/>
      <c r="R224" s="20"/>
      <c r="S224" s="18"/>
      <c r="T224" s="20"/>
      <c r="U224" s="16"/>
    </row>
    <row r="225" spans="3:21" ht="12.75">
      <c r="C225" s="18"/>
      <c r="D225" s="16"/>
      <c r="F225" s="16"/>
      <c r="H225" s="16"/>
      <c r="I225" s="58"/>
      <c r="J225" s="20"/>
      <c r="K225" s="18"/>
      <c r="L225" s="20"/>
      <c r="M225" s="18"/>
      <c r="N225" s="20"/>
      <c r="O225" s="18"/>
      <c r="P225" s="20"/>
      <c r="Q225" s="18"/>
      <c r="R225" s="20"/>
      <c r="S225" s="18"/>
      <c r="T225" s="20"/>
      <c r="U225" s="16"/>
    </row>
    <row r="226" spans="3:21" ht="12.75">
      <c r="C226" s="18"/>
      <c r="D226" s="16"/>
      <c r="F226" s="16"/>
      <c r="H226" s="16"/>
      <c r="I226" s="58"/>
      <c r="J226" s="20"/>
      <c r="K226" s="18"/>
      <c r="L226" s="20"/>
      <c r="M226" s="18"/>
      <c r="N226" s="20"/>
      <c r="O226" s="18"/>
      <c r="P226" s="20"/>
      <c r="Q226" s="18"/>
      <c r="R226" s="20"/>
      <c r="S226" s="18"/>
      <c r="T226" s="20"/>
      <c r="U226" s="16"/>
    </row>
    <row r="227" spans="3:21" ht="12.75">
      <c r="C227" s="18"/>
      <c r="D227" s="16"/>
      <c r="F227" s="16"/>
      <c r="H227" s="16"/>
      <c r="I227" s="58"/>
      <c r="J227" s="20"/>
      <c r="K227" s="18"/>
      <c r="L227" s="20"/>
      <c r="M227" s="18"/>
      <c r="N227" s="20"/>
      <c r="O227" s="18"/>
      <c r="P227" s="20"/>
      <c r="Q227" s="18"/>
      <c r="R227" s="20"/>
      <c r="S227" s="18"/>
      <c r="T227" s="20"/>
      <c r="U227" s="16"/>
    </row>
    <row r="228" spans="3:21" ht="12.75">
      <c r="C228" s="18"/>
      <c r="D228" s="16"/>
      <c r="F228" s="16"/>
      <c r="H228" s="16"/>
      <c r="I228" s="58"/>
      <c r="J228" s="20"/>
      <c r="K228" s="18"/>
      <c r="L228" s="20"/>
      <c r="M228" s="18"/>
      <c r="N228" s="20"/>
      <c r="O228" s="18"/>
      <c r="P228" s="20"/>
      <c r="Q228" s="18"/>
      <c r="R228" s="20"/>
      <c r="S228" s="18"/>
      <c r="T228" s="20"/>
      <c r="U228" s="16"/>
    </row>
    <row r="229" spans="3:21" ht="12.75">
      <c r="C229" s="18"/>
      <c r="D229" s="16"/>
      <c r="F229" s="16"/>
      <c r="H229" s="16"/>
      <c r="I229" s="58"/>
      <c r="J229" s="20"/>
      <c r="K229" s="18"/>
      <c r="L229" s="20"/>
      <c r="M229" s="18"/>
      <c r="N229" s="20"/>
      <c r="O229" s="18"/>
      <c r="P229" s="20"/>
      <c r="Q229" s="18"/>
      <c r="R229" s="20"/>
      <c r="S229" s="18"/>
      <c r="T229" s="20"/>
      <c r="U229" s="16"/>
    </row>
    <row r="230" spans="3:21" ht="12.75">
      <c r="C230" s="18"/>
      <c r="D230" s="16"/>
      <c r="F230" s="16"/>
      <c r="H230" s="16"/>
      <c r="I230" s="58"/>
      <c r="J230" s="20"/>
      <c r="K230" s="18"/>
      <c r="L230" s="20"/>
      <c r="M230" s="18"/>
      <c r="N230" s="20"/>
      <c r="O230" s="18"/>
      <c r="P230" s="20"/>
      <c r="Q230" s="18"/>
      <c r="R230" s="20"/>
      <c r="S230" s="18"/>
      <c r="T230" s="20"/>
      <c r="U230" s="16"/>
    </row>
    <row r="231" spans="3:21" ht="12.75">
      <c r="C231" s="18"/>
      <c r="D231" s="16"/>
      <c r="F231" s="16"/>
      <c r="H231" s="16"/>
      <c r="I231" s="58"/>
      <c r="J231" s="20"/>
      <c r="K231" s="18"/>
      <c r="L231" s="20"/>
      <c r="M231" s="18"/>
      <c r="N231" s="20"/>
      <c r="O231" s="18"/>
      <c r="P231" s="20"/>
      <c r="Q231" s="18"/>
      <c r="R231" s="20"/>
      <c r="S231" s="18"/>
      <c r="T231" s="20"/>
      <c r="U231" s="16"/>
    </row>
    <row r="232" spans="3:21" ht="12.75">
      <c r="C232" s="18"/>
      <c r="D232" s="16"/>
      <c r="F232" s="16"/>
      <c r="H232" s="16"/>
      <c r="I232" s="58"/>
      <c r="J232" s="20"/>
      <c r="K232" s="18"/>
      <c r="L232" s="20"/>
      <c r="M232" s="18"/>
      <c r="N232" s="20"/>
      <c r="O232" s="18"/>
      <c r="P232" s="20"/>
      <c r="Q232" s="18"/>
      <c r="R232" s="20"/>
      <c r="S232" s="18"/>
      <c r="T232" s="20"/>
      <c r="U232" s="16"/>
    </row>
    <row r="233" spans="3:21" ht="12.75">
      <c r="C233" s="18"/>
      <c r="D233" s="16"/>
      <c r="F233" s="16"/>
      <c r="H233" s="16"/>
      <c r="I233" s="58"/>
      <c r="J233" s="20"/>
      <c r="K233" s="18"/>
      <c r="L233" s="20"/>
      <c r="M233" s="18"/>
      <c r="N233" s="20"/>
      <c r="O233" s="18"/>
      <c r="P233" s="20"/>
      <c r="Q233" s="18"/>
      <c r="R233" s="20"/>
      <c r="S233" s="18"/>
      <c r="T233" s="20"/>
      <c r="U233" s="16"/>
    </row>
    <row r="234" spans="3:21" ht="12.75">
      <c r="C234" s="18"/>
      <c r="D234" s="16"/>
      <c r="F234" s="16"/>
      <c r="H234" s="16"/>
      <c r="I234" s="58"/>
      <c r="J234" s="20"/>
      <c r="K234" s="18"/>
      <c r="L234" s="20"/>
      <c r="M234" s="18"/>
      <c r="N234" s="20"/>
      <c r="O234" s="18"/>
      <c r="P234" s="20"/>
      <c r="Q234" s="18"/>
      <c r="R234" s="20"/>
      <c r="S234" s="18"/>
      <c r="T234" s="20"/>
      <c r="U234" s="16"/>
    </row>
    <row r="235" spans="3:21" ht="12.75">
      <c r="C235" s="18"/>
      <c r="D235" s="16"/>
      <c r="F235" s="16"/>
      <c r="H235" s="16"/>
      <c r="I235" s="58"/>
      <c r="J235" s="20"/>
      <c r="K235" s="18"/>
      <c r="L235" s="20"/>
      <c r="M235" s="18"/>
      <c r="N235" s="20"/>
      <c r="O235" s="18"/>
      <c r="P235" s="20"/>
      <c r="Q235" s="18"/>
      <c r="R235" s="20"/>
      <c r="S235" s="18"/>
      <c r="T235" s="20"/>
      <c r="U235" s="16"/>
    </row>
    <row r="236" spans="3:21" ht="12.75">
      <c r="C236" s="18"/>
      <c r="D236" s="16"/>
      <c r="F236" s="16"/>
      <c r="H236" s="16"/>
      <c r="I236" s="58"/>
      <c r="J236" s="20"/>
      <c r="K236" s="18"/>
      <c r="L236" s="20"/>
      <c r="M236" s="18"/>
      <c r="N236" s="20"/>
      <c r="O236" s="18"/>
      <c r="P236" s="20"/>
      <c r="Q236" s="18"/>
      <c r="R236" s="20"/>
      <c r="S236" s="18"/>
      <c r="T236" s="20"/>
      <c r="U236" s="16"/>
    </row>
    <row r="237" spans="3:21" ht="12.75">
      <c r="C237" s="18"/>
      <c r="D237" s="16"/>
      <c r="F237" s="16"/>
      <c r="H237" s="16"/>
      <c r="I237" s="58"/>
      <c r="J237" s="20"/>
      <c r="K237" s="18"/>
      <c r="L237" s="20"/>
      <c r="M237" s="18"/>
      <c r="N237" s="20"/>
      <c r="O237" s="18"/>
      <c r="P237" s="20"/>
      <c r="Q237" s="18"/>
      <c r="R237" s="20"/>
      <c r="S237" s="18"/>
      <c r="T237" s="20"/>
      <c r="U237" s="16"/>
    </row>
    <row r="238" spans="3:21" ht="12.75">
      <c r="C238" s="18"/>
      <c r="D238" s="16"/>
      <c r="F238" s="16"/>
      <c r="H238" s="16"/>
      <c r="I238" s="58"/>
      <c r="J238" s="20"/>
      <c r="K238" s="18"/>
      <c r="L238" s="20"/>
      <c r="M238" s="18"/>
      <c r="N238" s="20"/>
      <c r="O238" s="18"/>
      <c r="P238" s="20"/>
      <c r="Q238" s="18"/>
      <c r="R238" s="20"/>
      <c r="S238" s="18"/>
      <c r="T238" s="20"/>
      <c r="U238" s="16"/>
    </row>
    <row r="239" spans="3:21" ht="12.75">
      <c r="C239" s="18"/>
      <c r="D239" s="16"/>
      <c r="F239" s="16"/>
      <c r="H239" s="16"/>
      <c r="I239" s="58"/>
      <c r="J239" s="20"/>
      <c r="K239" s="18"/>
      <c r="L239" s="20"/>
      <c r="M239" s="18"/>
      <c r="N239" s="20"/>
      <c r="O239" s="18"/>
      <c r="P239" s="20"/>
      <c r="Q239" s="18"/>
      <c r="R239" s="20"/>
      <c r="S239" s="18"/>
      <c r="T239" s="20"/>
      <c r="U239" s="16"/>
    </row>
    <row r="240" spans="3:21" ht="12.75">
      <c r="C240" s="18"/>
      <c r="D240" s="16"/>
      <c r="F240" s="16"/>
      <c r="H240" s="16"/>
      <c r="I240" s="58"/>
      <c r="J240" s="20"/>
      <c r="K240" s="18"/>
      <c r="L240" s="20"/>
      <c r="M240" s="18"/>
      <c r="N240" s="20"/>
      <c r="O240" s="18"/>
      <c r="P240" s="20"/>
      <c r="Q240" s="18"/>
      <c r="R240" s="20"/>
      <c r="S240" s="18"/>
      <c r="T240" s="20"/>
      <c r="U240" s="16"/>
    </row>
    <row r="241" spans="3:21" ht="12.75">
      <c r="C241" s="18"/>
      <c r="D241" s="16"/>
      <c r="F241" s="16"/>
      <c r="H241" s="16"/>
      <c r="I241" s="58"/>
      <c r="J241" s="20"/>
      <c r="K241" s="18"/>
      <c r="L241" s="20"/>
      <c r="M241" s="18"/>
      <c r="N241" s="20"/>
      <c r="O241" s="18"/>
      <c r="P241" s="20"/>
      <c r="Q241" s="18"/>
      <c r="R241" s="20"/>
      <c r="S241" s="18"/>
      <c r="T241" s="20"/>
      <c r="U241" s="16"/>
    </row>
    <row r="242" spans="3:21" ht="12.75">
      <c r="C242" s="18"/>
      <c r="D242" s="16"/>
      <c r="F242" s="16"/>
      <c r="H242" s="16"/>
      <c r="I242" s="58"/>
      <c r="J242" s="20"/>
      <c r="K242" s="18"/>
      <c r="L242" s="20"/>
      <c r="M242" s="18"/>
      <c r="N242" s="20"/>
      <c r="O242" s="18"/>
      <c r="P242" s="20"/>
      <c r="Q242" s="18"/>
      <c r="R242" s="20"/>
      <c r="S242" s="18"/>
      <c r="T242" s="20"/>
      <c r="U242" s="16"/>
    </row>
    <row r="243" spans="3:21" ht="12.75">
      <c r="C243" s="18"/>
      <c r="D243" s="16"/>
      <c r="F243" s="16"/>
      <c r="H243" s="16"/>
      <c r="I243" s="58"/>
      <c r="J243" s="20"/>
      <c r="K243" s="18"/>
      <c r="L243" s="20"/>
      <c r="M243" s="18"/>
      <c r="N243" s="20"/>
      <c r="O243" s="18"/>
      <c r="P243" s="20"/>
      <c r="Q243" s="18"/>
      <c r="R243" s="20"/>
      <c r="S243" s="18"/>
      <c r="T243" s="20"/>
      <c r="U243" s="16"/>
    </row>
    <row r="244" spans="3:21" ht="12.75">
      <c r="C244" s="18"/>
      <c r="D244" s="16"/>
      <c r="F244" s="16"/>
      <c r="H244" s="16"/>
      <c r="I244" s="58"/>
      <c r="J244" s="20"/>
      <c r="K244" s="18"/>
      <c r="L244" s="20"/>
      <c r="M244" s="18"/>
      <c r="N244" s="20"/>
      <c r="O244" s="18"/>
      <c r="P244" s="20"/>
      <c r="Q244" s="18"/>
      <c r="R244" s="20"/>
      <c r="S244" s="18"/>
      <c r="T244" s="20"/>
      <c r="U244" s="16"/>
    </row>
    <row r="245" spans="3:21" ht="12.75">
      <c r="C245" s="18"/>
      <c r="D245" s="16"/>
      <c r="F245" s="16"/>
      <c r="H245" s="16"/>
      <c r="I245" s="58"/>
      <c r="J245" s="20"/>
      <c r="K245" s="18"/>
      <c r="L245" s="20"/>
      <c r="M245" s="18"/>
      <c r="N245" s="20"/>
      <c r="O245" s="18"/>
      <c r="P245" s="20"/>
      <c r="Q245" s="18"/>
      <c r="R245" s="20"/>
      <c r="S245" s="18"/>
      <c r="T245" s="20"/>
      <c r="U245" s="16"/>
    </row>
    <row r="246" spans="3:21" ht="12.75">
      <c r="C246" s="18"/>
      <c r="D246" s="16"/>
      <c r="F246" s="16"/>
      <c r="H246" s="16"/>
      <c r="I246" s="58"/>
      <c r="J246" s="20"/>
      <c r="K246" s="18"/>
      <c r="L246" s="20"/>
      <c r="M246" s="18"/>
      <c r="N246" s="20"/>
      <c r="O246" s="18"/>
      <c r="P246" s="20"/>
      <c r="Q246" s="18"/>
      <c r="R246" s="20"/>
      <c r="S246" s="18"/>
      <c r="T246" s="20"/>
      <c r="U246" s="16"/>
    </row>
    <row r="247" spans="3:21" ht="12.75">
      <c r="C247" s="18"/>
      <c r="D247" s="16"/>
      <c r="F247" s="16"/>
      <c r="H247" s="16"/>
      <c r="I247" s="58"/>
      <c r="J247" s="20"/>
      <c r="K247" s="18"/>
      <c r="L247" s="20"/>
      <c r="M247" s="18"/>
      <c r="N247" s="20"/>
      <c r="O247" s="18"/>
      <c r="P247" s="20"/>
      <c r="Q247" s="18"/>
      <c r="R247" s="20"/>
      <c r="S247" s="18"/>
      <c r="T247" s="20"/>
      <c r="U247" s="16"/>
    </row>
    <row r="248" spans="3:21" ht="12.75">
      <c r="C248" s="18"/>
      <c r="D248" s="16"/>
      <c r="F248" s="16"/>
      <c r="H248" s="16"/>
      <c r="I248" s="58"/>
      <c r="J248" s="20"/>
      <c r="K248" s="18"/>
      <c r="L248" s="20"/>
      <c r="M248" s="18"/>
      <c r="N248" s="20"/>
      <c r="O248" s="18"/>
      <c r="P248" s="20"/>
      <c r="Q248" s="18"/>
      <c r="R248" s="20"/>
      <c r="S248" s="18"/>
      <c r="T248" s="20"/>
      <c r="U248" s="16"/>
    </row>
    <row r="249" spans="3:21" ht="12.75">
      <c r="C249" s="18"/>
      <c r="D249" s="16"/>
      <c r="F249" s="16"/>
      <c r="H249" s="16"/>
      <c r="I249" s="58"/>
      <c r="J249" s="20"/>
      <c r="K249" s="18"/>
      <c r="L249" s="20"/>
      <c r="M249" s="18"/>
      <c r="N249" s="20"/>
      <c r="O249" s="18"/>
      <c r="P249" s="20"/>
      <c r="Q249" s="18"/>
      <c r="R249" s="20"/>
      <c r="S249" s="18"/>
      <c r="T249" s="20"/>
      <c r="U249" s="16"/>
    </row>
    <row r="250" spans="3:21" ht="12.75">
      <c r="C250" s="18"/>
      <c r="D250" s="16"/>
      <c r="F250" s="16"/>
      <c r="H250" s="16"/>
      <c r="I250" s="58"/>
      <c r="J250" s="20"/>
      <c r="K250" s="18"/>
      <c r="L250" s="20"/>
      <c r="M250" s="18"/>
      <c r="N250" s="20"/>
      <c r="O250" s="18"/>
      <c r="P250" s="20"/>
      <c r="Q250" s="18"/>
      <c r="R250" s="20"/>
      <c r="S250" s="18"/>
      <c r="T250" s="20"/>
      <c r="U250" s="16"/>
    </row>
    <row r="251" spans="3:21" ht="12.75">
      <c r="C251" s="18"/>
      <c r="D251" s="16"/>
      <c r="F251" s="16"/>
      <c r="H251" s="16"/>
      <c r="I251" s="58"/>
      <c r="J251" s="20"/>
      <c r="K251" s="18"/>
      <c r="L251" s="20"/>
      <c r="M251" s="18"/>
      <c r="N251" s="20"/>
      <c r="O251" s="18"/>
      <c r="P251" s="20"/>
      <c r="Q251" s="18"/>
      <c r="R251" s="20"/>
      <c r="S251" s="18"/>
      <c r="T251" s="20"/>
      <c r="U251" s="16"/>
    </row>
    <row r="252" spans="3:21" ht="12.75">
      <c r="C252" s="18"/>
      <c r="D252" s="16"/>
      <c r="F252" s="16"/>
      <c r="H252" s="16"/>
      <c r="I252" s="58"/>
      <c r="J252" s="20"/>
      <c r="K252" s="18"/>
      <c r="L252" s="20"/>
      <c r="M252" s="18"/>
      <c r="N252" s="20"/>
      <c r="O252" s="18"/>
      <c r="P252" s="20"/>
      <c r="Q252" s="18"/>
      <c r="R252" s="20"/>
      <c r="S252" s="18"/>
      <c r="T252" s="20"/>
      <c r="U252" s="16"/>
    </row>
    <row r="253" spans="3:21" ht="12.75">
      <c r="C253" s="18"/>
      <c r="D253" s="16"/>
      <c r="F253" s="16"/>
      <c r="H253" s="16"/>
      <c r="I253" s="58"/>
      <c r="J253" s="20"/>
      <c r="K253" s="18"/>
      <c r="L253" s="20"/>
      <c r="M253" s="18"/>
      <c r="N253" s="20"/>
      <c r="O253" s="18"/>
      <c r="P253" s="20"/>
      <c r="Q253" s="18"/>
      <c r="R253" s="20"/>
      <c r="S253" s="18"/>
      <c r="T253" s="20"/>
      <c r="U253" s="16"/>
    </row>
    <row r="254" spans="3:21" ht="12.75">
      <c r="C254" s="18"/>
      <c r="D254" s="16"/>
      <c r="F254" s="16"/>
      <c r="H254" s="16"/>
      <c r="I254" s="58"/>
      <c r="J254" s="20"/>
      <c r="K254" s="18"/>
      <c r="L254" s="20"/>
      <c r="M254" s="18"/>
      <c r="N254" s="20"/>
      <c r="O254" s="18"/>
      <c r="P254" s="20"/>
      <c r="Q254" s="18"/>
      <c r="R254" s="20"/>
      <c r="S254" s="18"/>
      <c r="T254" s="20"/>
      <c r="U254" s="16"/>
    </row>
    <row r="255" spans="3:21" ht="12.75">
      <c r="C255" s="18"/>
      <c r="D255" s="16"/>
      <c r="F255" s="16"/>
      <c r="H255" s="16"/>
      <c r="I255" s="58"/>
      <c r="J255" s="20"/>
      <c r="K255" s="18"/>
      <c r="L255" s="20"/>
      <c r="M255" s="18"/>
      <c r="N255" s="20"/>
      <c r="O255" s="18"/>
      <c r="P255" s="20"/>
      <c r="Q255" s="18"/>
      <c r="R255" s="20"/>
      <c r="S255" s="18"/>
      <c r="T255" s="20"/>
      <c r="U255" s="16"/>
    </row>
    <row r="256" spans="3:21" ht="12.75">
      <c r="C256" s="18"/>
      <c r="D256" s="16"/>
      <c r="F256" s="16"/>
      <c r="H256" s="16"/>
      <c r="I256" s="58"/>
      <c r="J256" s="20"/>
      <c r="K256" s="18"/>
      <c r="L256" s="20"/>
      <c r="M256" s="18"/>
      <c r="N256" s="20"/>
      <c r="O256" s="18"/>
      <c r="P256" s="20"/>
      <c r="Q256" s="18"/>
      <c r="R256" s="20"/>
      <c r="S256" s="18"/>
      <c r="T256" s="20"/>
      <c r="U256" s="16"/>
    </row>
    <row r="257" spans="3:21" ht="12.75">
      <c r="C257" s="18"/>
      <c r="D257" s="16"/>
      <c r="F257" s="16"/>
      <c r="H257" s="16"/>
      <c r="I257" s="58"/>
      <c r="J257" s="20"/>
      <c r="K257" s="18"/>
      <c r="L257" s="20"/>
      <c r="M257" s="18"/>
      <c r="N257" s="20"/>
      <c r="O257" s="18"/>
      <c r="P257" s="20"/>
      <c r="Q257" s="18"/>
      <c r="R257" s="20"/>
      <c r="S257" s="18"/>
      <c r="T257" s="20"/>
      <c r="U257" s="16"/>
    </row>
    <row r="258" spans="3:21" ht="12.75">
      <c r="C258" s="18"/>
      <c r="D258" s="16"/>
      <c r="F258" s="16"/>
      <c r="H258" s="16"/>
      <c r="I258" s="58"/>
      <c r="J258" s="20"/>
      <c r="K258" s="18"/>
      <c r="L258" s="20"/>
      <c r="M258" s="18"/>
      <c r="N258" s="20"/>
      <c r="O258" s="18"/>
      <c r="P258" s="20"/>
      <c r="Q258" s="18"/>
      <c r="R258" s="20"/>
      <c r="S258" s="18"/>
      <c r="T258" s="20"/>
      <c r="U258" s="16"/>
    </row>
    <row r="259" spans="3:21" ht="12.75">
      <c r="C259" s="18"/>
      <c r="D259" s="16"/>
      <c r="F259" s="16"/>
      <c r="H259" s="16"/>
      <c r="I259" s="58"/>
      <c r="J259" s="20"/>
      <c r="K259" s="18"/>
      <c r="L259" s="20"/>
      <c r="M259" s="18"/>
      <c r="N259" s="20"/>
      <c r="O259" s="18"/>
      <c r="P259" s="20"/>
      <c r="Q259" s="18"/>
      <c r="R259" s="20"/>
      <c r="S259" s="18"/>
      <c r="T259" s="20"/>
      <c r="U259" s="16"/>
    </row>
    <row r="260" spans="3:21" ht="12.75">
      <c r="C260" s="18"/>
      <c r="D260" s="16"/>
      <c r="F260" s="16"/>
      <c r="H260" s="16"/>
      <c r="I260" s="58"/>
      <c r="J260" s="20"/>
      <c r="K260" s="18"/>
      <c r="L260" s="20"/>
      <c r="M260" s="18"/>
      <c r="N260" s="20"/>
      <c r="O260" s="18"/>
      <c r="P260" s="20"/>
      <c r="Q260" s="18"/>
      <c r="R260" s="20"/>
      <c r="S260" s="18"/>
      <c r="T260" s="20"/>
      <c r="U260" s="16"/>
    </row>
    <row r="261" spans="3:21" ht="12.75">
      <c r="C261" s="18"/>
      <c r="D261" s="16"/>
      <c r="F261" s="16"/>
      <c r="H261" s="16"/>
      <c r="I261" s="58"/>
      <c r="J261" s="20"/>
      <c r="K261" s="18"/>
      <c r="L261" s="20"/>
      <c r="M261" s="18"/>
      <c r="N261" s="20"/>
      <c r="O261" s="18"/>
      <c r="P261" s="20"/>
      <c r="Q261" s="18"/>
      <c r="R261" s="20"/>
      <c r="S261" s="18"/>
      <c r="T261" s="20"/>
      <c r="U261" s="16"/>
    </row>
    <row r="262" spans="3:21" ht="12.75">
      <c r="C262" s="18"/>
      <c r="D262" s="16"/>
      <c r="F262" s="16"/>
      <c r="H262" s="16"/>
      <c r="I262" s="58"/>
      <c r="J262" s="20"/>
      <c r="K262" s="18"/>
      <c r="L262" s="20"/>
      <c r="M262" s="18"/>
      <c r="N262" s="20"/>
      <c r="O262" s="18"/>
      <c r="P262" s="20"/>
      <c r="Q262" s="18"/>
      <c r="R262" s="20"/>
      <c r="S262" s="18"/>
      <c r="T262" s="20"/>
      <c r="U262" s="16"/>
    </row>
    <row r="263" spans="3:21" ht="12.75">
      <c r="C263" s="18"/>
      <c r="D263" s="16"/>
      <c r="F263" s="16"/>
      <c r="H263" s="16"/>
      <c r="I263" s="58"/>
      <c r="J263" s="20"/>
      <c r="K263" s="18"/>
      <c r="L263" s="20"/>
      <c r="M263" s="18"/>
      <c r="N263" s="20"/>
      <c r="O263" s="18"/>
      <c r="P263" s="20"/>
      <c r="Q263" s="18"/>
      <c r="R263" s="20"/>
      <c r="S263" s="18"/>
      <c r="T263" s="20"/>
      <c r="U263" s="16"/>
    </row>
    <row r="264" spans="3:21" ht="12.75">
      <c r="C264" s="18"/>
      <c r="D264" s="16"/>
      <c r="F264" s="16"/>
      <c r="H264" s="16"/>
      <c r="I264" s="58"/>
      <c r="J264" s="20"/>
      <c r="K264" s="18"/>
      <c r="L264" s="20"/>
      <c r="M264" s="18"/>
      <c r="N264" s="20"/>
      <c r="O264" s="18"/>
      <c r="P264" s="20"/>
      <c r="Q264" s="18"/>
      <c r="R264" s="20"/>
      <c r="S264" s="18"/>
      <c r="T264" s="20"/>
      <c r="U264" s="16"/>
    </row>
    <row r="265" spans="3:21" ht="12.75">
      <c r="C265" s="18"/>
      <c r="D265" s="16"/>
      <c r="F265" s="16"/>
      <c r="H265" s="16"/>
      <c r="I265" s="58"/>
      <c r="J265" s="20"/>
      <c r="K265" s="18"/>
      <c r="L265" s="20"/>
      <c r="M265" s="18"/>
      <c r="N265" s="20"/>
      <c r="O265" s="18"/>
      <c r="P265" s="20"/>
      <c r="Q265" s="18"/>
      <c r="R265" s="20"/>
      <c r="S265" s="18"/>
      <c r="T265" s="20"/>
      <c r="U265" s="16"/>
    </row>
    <row r="266" spans="3:21" ht="12.75">
      <c r="C266" s="18"/>
      <c r="D266" s="16"/>
      <c r="F266" s="16"/>
      <c r="H266" s="16"/>
      <c r="I266" s="58"/>
      <c r="J266" s="20"/>
      <c r="K266" s="18"/>
      <c r="L266" s="20"/>
      <c r="M266" s="18"/>
      <c r="N266" s="20"/>
      <c r="O266" s="18"/>
      <c r="P266" s="20"/>
      <c r="Q266" s="18"/>
      <c r="R266" s="20"/>
      <c r="S266" s="18"/>
      <c r="T266" s="20"/>
      <c r="U266" s="16"/>
    </row>
    <row r="267" spans="3:21" ht="12.75">
      <c r="C267" s="18"/>
      <c r="D267" s="16"/>
      <c r="F267" s="16"/>
      <c r="H267" s="16"/>
      <c r="I267" s="58"/>
      <c r="J267" s="20"/>
      <c r="K267" s="18"/>
      <c r="L267" s="20"/>
      <c r="M267" s="18"/>
      <c r="N267" s="20"/>
      <c r="O267" s="18"/>
      <c r="P267" s="20"/>
      <c r="Q267" s="18"/>
      <c r="R267" s="20"/>
      <c r="S267" s="18"/>
      <c r="T267" s="20"/>
      <c r="U267" s="16"/>
    </row>
    <row r="268" spans="3:21" ht="12.75">
      <c r="C268" s="18"/>
      <c r="D268" s="16"/>
      <c r="F268" s="16"/>
      <c r="H268" s="16"/>
      <c r="I268" s="58"/>
      <c r="J268" s="20"/>
      <c r="K268" s="18"/>
      <c r="L268" s="20"/>
      <c r="M268" s="18"/>
      <c r="N268" s="20"/>
      <c r="O268" s="18"/>
      <c r="P268" s="20"/>
      <c r="Q268" s="18"/>
      <c r="R268" s="20"/>
      <c r="S268" s="18"/>
      <c r="T268" s="20"/>
      <c r="U268" s="16"/>
    </row>
    <row r="269" spans="3:21" ht="12.75">
      <c r="C269" s="18"/>
      <c r="D269" s="16"/>
      <c r="F269" s="16"/>
      <c r="H269" s="16"/>
      <c r="I269" s="58"/>
      <c r="J269" s="20"/>
      <c r="K269" s="18"/>
      <c r="L269" s="20"/>
      <c r="M269" s="18"/>
      <c r="N269" s="20"/>
      <c r="O269" s="18"/>
      <c r="P269" s="20"/>
      <c r="Q269" s="18"/>
      <c r="R269" s="20"/>
      <c r="S269" s="18"/>
      <c r="T269" s="20"/>
      <c r="U269" s="16"/>
    </row>
    <row r="270" spans="3:21" ht="12.75">
      <c r="C270" s="18"/>
      <c r="D270" s="16"/>
      <c r="F270" s="16"/>
      <c r="H270" s="16"/>
      <c r="I270" s="58"/>
      <c r="J270" s="20"/>
      <c r="K270" s="18"/>
      <c r="L270" s="20"/>
      <c r="M270" s="18"/>
      <c r="N270" s="20"/>
      <c r="O270" s="18"/>
      <c r="P270" s="20"/>
      <c r="Q270" s="18"/>
      <c r="R270" s="20"/>
      <c r="S270" s="18"/>
      <c r="T270" s="20"/>
      <c r="U270" s="16"/>
    </row>
    <row r="271" spans="3:21" ht="12.75">
      <c r="C271" s="18"/>
      <c r="D271" s="16"/>
      <c r="F271" s="16"/>
      <c r="H271" s="16"/>
      <c r="I271" s="58"/>
      <c r="J271" s="20"/>
      <c r="K271" s="18"/>
      <c r="L271" s="20"/>
      <c r="M271" s="18"/>
      <c r="N271" s="20"/>
      <c r="O271" s="18"/>
      <c r="P271" s="20"/>
      <c r="Q271" s="18"/>
      <c r="R271" s="20"/>
      <c r="S271" s="18"/>
      <c r="T271" s="20"/>
      <c r="U271" s="16"/>
    </row>
    <row r="272" spans="3:21" ht="12.75">
      <c r="C272" s="18"/>
      <c r="D272" s="16"/>
      <c r="F272" s="16"/>
      <c r="H272" s="16"/>
      <c r="I272" s="58"/>
      <c r="J272" s="20"/>
      <c r="K272" s="18"/>
      <c r="L272" s="20"/>
      <c r="M272" s="18"/>
      <c r="N272" s="20"/>
      <c r="O272" s="18"/>
      <c r="P272" s="20"/>
      <c r="Q272" s="18"/>
      <c r="R272" s="20"/>
      <c r="S272" s="18"/>
      <c r="T272" s="20"/>
      <c r="U272" s="16"/>
    </row>
    <row r="273" spans="3:21" ht="12.75">
      <c r="C273" s="18"/>
      <c r="D273" s="16"/>
      <c r="F273" s="16"/>
      <c r="H273" s="16"/>
      <c r="I273" s="58"/>
      <c r="J273" s="20"/>
      <c r="K273" s="18"/>
      <c r="L273" s="20"/>
      <c r="M273" s="18"/>
      <c r="N273" s="20"/>
      <c r="O273" s="18"/>
      <c r="P273" s="20"/>
      <c r="Q273" s="18"/>
      <c r="R273" s="20"/>
      <c r="S273" s="18"/>
      <c r="T273" s="20"/>
      <c r="U273" s="16"/>
    </row>
    <row r="274" spans="3:21" ht="12.75">
      <c r="C274" s="18"/>
      <c r="D274" s="16"/>
      <c r="F274" s="16"/>
      <c r="H274" s="16"/>
      <c r="I274" s="58"/>
      <c r="J274" s="20"/>
      <c r="K274" s="18"/>
      <c r="L274" s="20"/>
      <c r="M274" s="18"/>
      <c r="N274" s="20"/>
      <c r="O274" s="18"/>
      <c r="P274" s="20"/>
      <c r="Q274" s="18"/>
      <c r="R274" s="20"/>
      <c r="S274" s="18"/>
      <c r="T274" s="20"/>
      <c r="U274" s="16"/>
    </row>
    <row r="275" spans="3:21" ht="12.75">
      <c r="C275" s="18"/>
      <c r="D275" s="16"/>
      <c r="F275" s="16"/>
      <c r="H275" s="16"/>
      <c r="I275" s="58"/>
      <c r="J275" s="20"/>
      <c r="K275" s="18"/>
      <c r="L275" s="20"/>
      <c r="M275" s="18"/>
      <c r="N275" s="20"/>
      <c r="O275" s="18"/>
      <c r="P275" s="20"/>
      <c r="Q275" s="18"/>
      <c r="R275" s="20"/>
      <c r="S275" s="18"/>
      <c r="T275" s="20"/>
      <c r="U275" s="16"/>
    </row>
    <row r="276" spans="3:21" ht="12.75">
      <c r="C276" s="18"/>
      <c r="D276" s="16"/>
      <c r="F276" s="16"/>
      <c r="H276" s="16"/>
      <c r="I276" s="58"/>
      <c r="J276" s="20"/>
      <c r="K276" s="18"/>
      <c r="L276" s="20"/>
      <c r="M276" s="18"/>
      <c r="N276" s="20"/>
      <c r="O276" s="18"/>
      <c r="P276" s="20"/>
      <c r="Q276" s="18"/>
      <c r="R276" s="20"/>
      <c r="S276" s="18"/>
      <c r="T276" s="20"/>
      <c r="U276" s="16"/>
    </row>
    <row r="277" spans="3:21" ht="12.75">
      <c r="C277" s="18"/>
      <c r="D277" s="16"/>
      <c r="F277" s="16"/>
      <c r="H277" s="16"/>
      <c r="I277" s="58"/>
      <c r="J277" s="20"/>
      <c r="K277" s="18"/>
      <c r="L277" s="20"/>
      <c r="M277" s="18"/>
      <c r="N277" s="20"/>
      <c r="O277" s="18"/>
      <c r="P277" s="20"/>
      <c r="Q277" s="18"/>
      <c r="R277" s="20"/>
      <c r="S277" s="18"/>
      <c r="T277" s="20"/>
      <c r="U277" s="16"/>
    </row>
    <row r="278" spans="3:21" ht="12.75">
      <c r="C278" s="18"/>
      <c r="D278" s="16"/>
      <c r="F278" s="16"/>
      <c r="H278" s="16"/>
      <c r="I278" s="58"/>
      <c r="J278" s="20"/>
      <c r="K278" s="18"/>
      <c r="L278" s="20"/>
      <c r="M278" s="18"/>
      <c r="N278" s="20"/>
      <c r="O278" s="18"/>
      <c r="P278" s="20"/>
      <c r="Q278" s="18"/>
      <c r="R278" s="20"/>
      <c r="S278" s="18"/>
      <c r="T278" s="20"/>
      <c r="U278" s="16"/>
    </row>
    <row r="279" spans="3:21" ht="12.75">
      <c r="C279" s="18"/>
      <c r="D279" s="16"/>
      <c r="F279" s="16"/>
      <c r="H279" s="16"/>
      <c r="I279" s="58"/>
      <c r="J279" s="20"/>
      <c r="K279" s="18"/>
      <c r="L279" s="20"/>
      <c r="M279" s="18"/>
      <c r="N279" s="20"/>
      <c r="O279" s="18"/>
      <c r="P279" s="20"/>
      <c r="Q279" s="18"/>
      <c r="R279" s="20"/>
      <c r="S279" s="18"/>
      <c r="T279" s="20"/>
      <c r="U279" s="16"/>
    </row>
    <row r="280" spans="3:21" ht="12.75">
      <c r="C280" s="18"/>
      <c r="D280" s="16"/>
      <c r="F280" s="16"/>
      <c r="H280" s="16"/>
      <c r="I280" s="58"/>
      <c r="J280" s="20"/>
      <c r="K280" s="18"/>
      <c r="L280" s="20"/>
      <c r="M280" s="18"/>
      <c r="N280" s="20"/>
      <c r="O280" s="18"/>
      <c r="P280" s="20"/>
      <c r="Q280" s="18"/>
      <c r="R280" s="20"/>
      <c r="S280" s="18"/>
      <c r="T280" s="20"/>
      <c r="U280" s="16"/>
    </row>
    <row r="281" spans="3:21" ht="12.75">
      <c r="C281" s="18"/>
      <c r="D281" s="16"/>
      <c r="F281" s="16"/>
      <c r="H281" s="16"/>
      <c r="I281" s="58"/>
      <c r="J281" s="20"/>
      <c r="K281" s="18"/>
      <c r="L281" s="20"/>
      <c r="M281" s="18"/>
      <c r="N281" s="20"/>
      <c r="O281" s="18"/>
      <c r="P281" s="20"/>
      <c r="Q281" s="18"/>
      <c r="R281" s="20"/>
      <c r="S281" s="18"/>
      <c r="T281" s="20"/>
      <c r="U281" s="16"/>
    </row>
    <row r="282" spans="3:21" ht="12.75">
      <c r="C282" s="18"/>
      <c r="D282" s="16"/>
      <c r="F282" s="16"/>
      <c r="H282" s="16"/>
      <c r="I282" s="58"/>
      <c r="J282" s="20"/>
      <c r="K282" s="18"/>
      <c r="L282" s="20"/>
      <c r="M282" s="18"/>
      <c r="N282" s="20"/>
      <c r="O282" s="18"/>
      <c r="P282" s="20"/>
      <c r="Q282" s="18"/>
      <c r="R282" s="20"/>
      <c r="S282" s="18"/>
      <c r="T282" s="20"/>
      <c r="U282" s="16"/>
    </row>
    <row r="283" spans="3:21" ht="12.75">
      <c r="C283" s="18"/>
      <c r="D283" s="16"/>
      <c r="F283" s="16"/>
      <c r="H283" s="16"/>
      <c r="I283" s="58"/>
      <c r="J283" s="20"/>
      <c r="K283" s="18"/>
      <c r="L283" s="20"/>
      <c r="M283" s="18"/>
      <c r="N283" s="20"/>
      <c r="O283" s="18"/>
      <c r="P283" s="20"/>
      <c r="Q283" s="18"/>
      <c r="R283" s="20"/>
      <c r="S283" s="18"/>
      <c r="T283" s="20"/>
      <c r="U283" s="16"/>
    </row>
    <row r="284" spans="3:21" ht="12.75">
      <c r="C284" s="18"/>
      <c r="D284" s="16"/>
      <c r="F284" s="16"/>
      <c r="H284" s="16"/>
      <c r="I284" s="58"/>
      <c r="J284" s="20"/>
      <c r="K284" s="18"/>
      <c r="L284" s="20"/>
      <c r="M284" s="18"/>
      <c r="N284" s="20"/>
      <c r="O284" s="18"/>
      <c r="P284" s="20"/>
      <c r="Q284" s="18"/>
      <c r="R284" s="20"/>
      <c r="S284" s="18"/>
      <c r="T284" s="20"/>
      <c r="U284" s="16"/>
    </row>
    <row r="285" spans="3:21" ht="12.75">
      <c r="C285" s="18"/>
      <c r="D285" s="16"/>
      <c r="F285" s="16"/>
      <c r="H285" s="16"/>
      <c r="I285" s="58"/>
      <c r="J285" s="20"/>
      <c r="K285" s="18"/>
      <c r="L285" s="20"/>
      <c r="M285" s="18"/>
      <c r="N285" s="20"/>
      <c r="O285" s="18"/>
      <c r="P285" s="20"/>
      <c r="Q285" s="18"/>
      <c r="R285" s="20"/>
      <c r="S285" s="18"/>
      <c r="T285" s="20"/>
      <c r="U285" s="16"/>
    </row>
    <row r="286" spans="3:21" ht="12.75">
      <c r="C286" s="18"/>
      <c r="D286" s="16"/>
      <c r="F286" s="16"/>
      <c r="H286" s="16"/>
      <c r="I286" s="58"/>
      <c r="J286" s="20"/>
      <c r="K286" s="18"/>
      <c r="L286" s="20"/>
      <c r="M286" s="18"/>
      <c r="N286" s="20"/>
      <c r="O286" s="18"/>
      <c r="P286" s="20"/>
      <c r="Q286" s="18"/>
      <c r="R286" s="20"/>
      <c r="S286" s="18"/>
      <c r="T286" s="20"/>
      <c r="U286" s="16"/>
    </row>
    <row r="287" spans="3:21" ht="12.75">
      <c r="C287" s="18"/>
      <c r="D287" s="16"/>
      <c r="F287" s="16"/>
      <c r="H287" s="16"/>
      <c r="I287" s="58"/>
      <c r="J287" s="20"/>
      <c r="K287" s="18"/>
      <c r="L287" s="20"/>
      <c r="M287" s="18"/>
      <c r="N287" s="20"/>
      <c r="O287" s="18"/>
      <c r="P287" s="20"/>
      <c r="Q287" s="18"/>
      <c r="R287" s="20"/>
      <c r="S287" s="18"/>
      <c r="T287" s="20"/>
      <c r="U287" s="16"/>
    </row>
    <row r="288" spans="3:21" ht="12.75">
      <c r="C288" s="18"/>
      <c r="D288" s="16"/>
      <c r="F288" s="16"/>
      <c r="H288" s="16"/>
      <c r="I288" s="58"/>
      <c r="J288" s="20"/>
      <c r="K288" s="18"/>
      <c r="L288" s="20"/>
      <c r="M288" s="18"/>
      <c r="N288" s="20"/>
      <c r="O288" s="18"/>
      <c r="P288" s="20"/>
      <c r="Q288" s="18"/>
      <c r="R288" s="20"/>
      <c r="S288" s="18"/>
      <c r="T288" s="20"/>
      <c r="U288" s="16"/>
    </row>
    <row r="289" spans="3:21" ht="12.75">
      <c r="C289" s="18"/>
      <c r="D289" s="16"/>
      <c r="F289" s="16"/>
      <c r="H289" s="16"/>
      <c r="I289" s="58"/>
      <c r="J289" s="20"/>
      <c r="K289" s="18"/>
      <c r="L289" s="20"/>
      <c r="M289" s="18"/>
      <c r="N289" s="20"/>
      <c r="O289" s="18"/>
      <c r="P289" s="20"/>
      <c r="Q289" s="18"/>
      <c r="R289" s="20"/>
      <c r="S289" s="18"/>
      <c r="T289" s="20"/>
      <c r="U289" s="16"/>
    </row>
    <row r="290" spans="3:21" ht="12.75">
      <c r="C290" s="18"/>
      <c r="D290" s="16"/>
      <c r="F290" s="16"/>
      <c r="H290" s="16"/>
      <c r="I290" s="58"/>
      <c r="J290" s="20"/>
      <c r="K290" s="18"/>
      <c r="L290" s="20"/>
      <c r="M290" s="18"/>
      <c r="N290" s="20"/>
      <c r="O290" s="18"/>
      <c r="P290" s="20"/>
      <c r="Q290" s="18"/>
      <c r="R290" s="20"/>
      <c r="S290" s="18"/>
      <c r="T290" s="20"/>
      <c r="U290" s="16"/>
    </row>
    <row r="291" spans="3:21" ht="12.75">
      <c r="C291" s="18"/>
      <c r="D291" s="16"/>
      <c r="F291" s="16"/>
      <c r="H291" s="16"/>
      <c r="I291" s="58"/>
      <c r="J291" s="20"/>
      <c r="K291" s="18"/>
      <c r="L291" s="20"/>
      <c r="M291" s="18"/>
      <c r="N291" s="20"/>
      <c r="O291" s="18"/>
      <c r="P291" s="20"/>
      <c r="Q291" s="18"/>
      <c r="R291" s="20"/>
      <c r="S291" s="18"/>
      <c r="T291" s="20"/>
      <c r="U291" s="16"/>
    </row>
    <row r="292" spans="3:21" ht="12.75">
      <c r="C292" s="18"/>
      <c r="D292" s="16"/>
      <c r="F292" s="16"/>
      <c r="H292" s="16"/>
      <c r="I292" s="58"/>
      <c r="J292" s="20"/>
      <c r="K292" s="18"/>
      <c r="L292" s="20"/>
      <c r="M292" s="18"/>
      <c r="N292" s="20"/>
      <c r="O292" s="18"/>
      <c r="P292" s="20"/>
      <c r="Q292" s="18"/>
      <c r="R292" s="20"/>
      <c r="S292" s="18"/>
      <c r="T292" s="20"/>
      <c r="U292" s="16"/>
    </row>
    <row r="293" spans="3:21" ht="12.75">
      <c r="C293" s="18"/>
      <c r="D293" s="16"/>
      <c r="F293" s="16"/>
      <c r="H293" s="16"/>
      <c r="I293" s="58"/>
      <c r="J293" s="20"/>
      <c r="K293" s="18"/>
      <c r="L293" s="20"/>
      <c r="M293" s="18"/>
      <c r="N293" s="20"/>
      <c r="O293" s="18"/>
      <c r="P293" s="20"/>
      <c r="Q293" s="18"/>
      <c r="R293" s="20"/>
      <c r="S293" s="18"/>
      <c r="T293" s="20"/>
      <c r="U293" s="16"/>
    </row>
    <row r="294" spans="3:21" ht="12.75">
      <c r="C294" s="18"/>
      <c r="D294" s="16"/>
      <c r="F294" s="16"/>
      <c r="H294" s="16"/>
      <c r="I294" s="58"/>
      <c r="J294" s="20"/>
      <c r="K294" s="18"/>
      <c r="L294" s="20"/>
      <c r="M294" s="18"/>
      <c r="N294" s="20"/>
      <c r="O294" s="18"/>
      <c r="P294" s="20"/>
      <c r="Q294" s="18"/>
      <c r="R294" s="20"/>
      <c r="S294" s="18"/>
      <c r="T294" s="20"/>
      <c r="U294" s="16"/>
    </row>
    <row r="295" spans="3:21" ht="12.75">
      <c r="C295" s="18"/>
      <c r="D295" s="16"/>
      <c r="F295" s="16"/>
      <c r="H295" s="16"/>
      <c r="I295" s="58"/>
      <c r="J295" s="20"/>
      <c r="K295" s="18"/>
      <c r="L295" s="20"/>
      <c r="M295" s="18"/>
      <c r="N295" s="20"/>
      <c r="O295" s="18"/>
      <c r="P295" s="20"/>
      <c r="Q295" s="18"/>
      <c r="R295" s="20"/>
      <c r="S295" s="18"/>
      <c r="T295" s="20"/>
      <c r="U295" s="16"/>
    </row>
    <row r="296" spans="3:21" ht="12.75">
      <c r="C296" s="18"/>
      <c r="D296" s="16"/>
      <c r="F296" s="16"/>
      <c r="H296" s="16"/>
      <c r="I296" s="58"/>
      <c r="J296" s="20"/>
      <c r="K296" s="18"/>
      <c r="L296" s="20"/>
      <c r="M296" s="18"/>
      <c r="N296" s="20"/>
      <c r="O296" s="18"/>
      <c r="P296" s="20"/>
      <c r="Q296" s="18"/>
      <c r="R296" s="20"/>
      <c r="S296" s="18"/>
      <c r="T296" s="20"/>
      <c r="U296" s="16"/>
    </row>
    <row r="297" spans="3:21" ht="12.75">
      <c r="C297" s="18"/>
      <c r="D297" s="16"/>
      <c r="F297" s="16"/>
      <c r="H297" s="16"/>
      <c r="I297" s="58"/>
      <c r="J297" s="20"/>
      <c r="K297" s="18"/>
      <c r="L297" s="20"/>
      <c r="M297" s="18"/>
      <c r="N297" s="20"/>
      <c r="O297" s="18"/>
      <c r="P297" s="20"/>
      <c r="Q297" s="18"/>
      <c r="R297" s="20"/>
      <c r="S297" s="18"/>
      <c r="T297" s="20"/>
      <c r="U297" s="16"/>
    </row>
    <row r="298" spans="3:21" ht="12.75">
      <c r="C298" s="18"/>
      <c r="D298" s="16"/>
      <c r="F298" s="16"/>
      <c r="H298" s="16"/>
      <c r="I298" s="58"/>
      <c r="J298" s="20"/>
      <c r="K298" s="18"/>
      <c r="L298" s="20"/>
      <c r="M298" s="18"/>
      <c r="N298" s="20"/>
      <c r="O298" s="18"/>
      <c r="P298" s="20"/>
      <c r="Q298" s="18"/>
      <c r="R298" s="20"/>
      <c r="S298" s="18"/>
      <c r="T298" s="20"/>
      <c r="U298" s="16"/>
    </row>
    <row r="299" spans="3:21" ht="12.75">
      <c r="C299" s="18"/>
      <c r="D299" s="16"/>
      <c r="F299" s="16"/>
      <c r="H299" s="16"/>
      <c r="I299" s="58"/>
      <c r="J299" s="20"/>
      <c r="K299" s="18"/>
      <c r="L299" s="20"/>
      <c r="M299" s="18"/>
      <c r="N299" s="20"/>
      <c r="O299" s="18"/>
      <c r="P299" s="20"/>
      <c r="Q299" s="18"/>
      <c r="R299" s="20"/>
      <c r="S299" s="18"/>
      <c r="T299" s="20"/>
      <c r="U299" s="16"/>
    </row>
    <row r="300" spans="3:21" ht="12.75">
      <c r="C300" s="18"/>
      <c r="D300" s="16"/>
      <c r="F300" s="16"/>
      <c r="H300" s="16"/>
      <c r="I300" s="58"/>
      <c r="J300" s="20"/>
      <c r="K300" s="18"/>
      <c r="L300" s="20"/>
      <c r="M300" s="18"/>
      <c r="N300" s="20"/>
      <c r="O300" s="18"/>
      <c r="P300" s="20"/>
      <c r="Q300" s="18"/>
      <c r="R300" s="20"/>
      <c r="S300" s="18"/>
      <c r="T300" s="20"/>
      <c r="U300" s="16"/>
    </row>
    <row r="301" spans="3:21" ht="12.75">
      <c r="C301" s="18"/>
      <c r="D301" s="16"/>
      <c r="F301" s="16"/>
      <c r="H301" s="16"/>
      <c r="I301" s="58"/>
      <c r="J301" s="20"/>
      <c r="K301" s="18"/>
      <c r="L301" s="20"/>
      <c r="M301" s="18"/>
      <c r="N301" s="20"/>
      <c r="O301" s="18"/>
      <c r="P301" s="20"/>
      <c r="Q301" s="18"/>
      <c r="R301" s="20"/>
      <c r="S301" s="18"/>
      <c r="T301" s="20"/>
      <c r="U301" s="16"/>
    </row>
    <row r="302" spans="3:21" ht="12.75">
      <c r="C302" s="18"/>
      <c r="D302" s="16"/>
      <c r="F302" s="16"/>
      <c r="H302" s="16"/>
      <c r="I302" s="58"/>
      <c r="J302" s="20"/>
      <c r="K302" s="18"/>
      <c r="L302" s="20"/>
      <c r="M302" s="18"/>
      <c r="N302" s="20"/>
      <c r="O302" s="18"/>
      <c r="P302" s="20"/>
      <c r="Q302" s="18"/>
      <c r="R302" s="20"/>
      <c r="S302" s="18"/>
      <c r="T302" s="20"/>
      <c r="U302" s="16"/>
    </row>
    <row r="303" spans="3:21" ht="12.75">
      <c r="C303" s="18"/>
      <c r="D303" s="16"/>
      <c r="F303" s="16"/>
      <c r="H303" s="16"/>
      <c r="I303" s="58"/>
      <c r="J303" s="20"/>
      <c r="K303" s="18"/>
      <c r="L303" s="20"/>
      <c r="M303" s="18"/>
      <c r="N303" s="20"/>
      <c r="O303" s="18"/>
      <c r="P303" s="20"/>
      <c r="Q303" s="18"/>
      <c r="R303" s="20"/>
      <c r="S303" s="18"/>
      <c r="T303" s="20"/>
      <c r="U303" s="16"/>
    </row>
    <row r="304" spans="3:21" ht="12.75">
      <c r="C304" s="18"/>
      <c r="D304" s="16"/>
      <c r="F304" s="16"/>
      <c r="H304" s="16"/>
      <c r="I304" s="58"/>
      <c r="J304" s="20"/>
      <c r="K304" s="18"/>
      <c r="L304" s="20"/>
      <c r="M304" s="18"/>
      <c r="N304" s="20"/>
      <c r="O304" s="18"/>
      <c r="P304" s="20"/>
      <c r="Q304" s="18"/>
      <c r="R304" s="20"/>
      <c r="S304" s="18"/>
      <c r="T304" s="20"/>
      <c r="U304" s="16"/>
    </row>
    <row r="305" spans="3:21" ht="12.75">
      <c r="C305" s="18"/>
      <c r="D305" s="16"/>
      <c r="F305" s="16"/>
      <c r="H305" s="16"/>
      <c r="I305" s="58"/>
      <c r="J305" s="20"/>
      <c r="K305" s="18"/>
      <c r="L305" s="20"/>
      <c r="M305" s="18"/>
      <c r="N305" s="20"/>
      <c r="O305" s="18"/>
      <c r="P305" s="20"/>
      <c r="Q305" s="18"/>
      <c r="R305" s="20"/>
      <c r="S305" s="18"/>
      <c r="T305" s="20"/>
      <c r="U305" s="16"/>
    </row>
    <row r="306" spans="3:21" ht="12.75">
      <c r="C306" s="18"/>
      <c r="D306" s="16"/>
      <c r="F306" s="16"/>
      <c r="H306" s="16"/>
      <c r="I306" s="58"/>
      <c r="J306" s="20"/>
      <c r="K306" s="18"/>
      <c r="L306" s="20"/>
      <c r="M306" s="18"/>
      <c r="N306" s="20"/>
      <c r="O306" s="18"/>
      <c r="P306" s="20"/>
      <c r="Q306" s="18"/>
      <c r="R306" s="20"/>
      <c r="S306" s="18"/>
      <c r="T306" s="20"/>
      <c r="U306" s="16"/>
    </row>
    <row r="307" spans="3:21" ht="12.75">
      <c r="C307" s="18"/>
      <c r="D307" s="16"/>
      <c r="F307" s="16"/>
      <c r="H307" s="16"/>
      <c r="I307" s="58"/>
      <c r="J307" s="20"/>
      <c r="K307" s="18"/>
      <c r="L307" s="20"/>
      <c r="M307" s="18"/>
      <c r="N307" s="20"/>
      <c r="O307" s="18"/>
      <c r="P307" s="20"/>
      <c r="Q307" s="18"/>
      <c r="R307" s="20"/>
      <c r="S307" s="18"/>
      <c r="T307" s="20"/>
      <c r="U307" s="16"/>
    </row>
    <row r="308" spans="3:21" ht="12.75">
      <c r="C308" s="18"/>
      <c r="D308" s="16"/>
      <c r="F308" s="16"/>
      <c r="H308" s="16"/>
      <c r="I308" s="58"/>
      <c r="J308" s="20"/>
      <c r="K308" s="18"/>
      <c r="L308" s="20"/>
      <c r="M308" s="18"/>
      <c r="N308" s="20"/>
      <c r="O308" s="18"/>
      <c r="P308" s="20"/>
      <c r="Q308" s="18"/>
      <c r="R308" s="20"/>
      <c r="S308" s="18"/>
      <c r="T308" s="20"/>
      <c r="U308" s="16"/>
    </row>
    <row r="309" spans="3:21" ht="12.75">
      <c r="C309" s="18"/>
      <c r="D309" s="16"/>
      <c r="F309" s="16"/>
      <c r="H309" s="16"/>
      <c r="I309" s="58"/>
      <c r="J309" s="20"/>
      <c r="K309" s="18"/>
      <c r="L309" s="20"/>
      <c r="M309" s="18"/>
      <c r="N309" s="20"/>
      <c r="O309" s="18"/>
      <c r="P309" s="20"/>
      <c r="Q309" s="18"/>
      <c r="R309" s="20"/>
      <c r="S309" s="18"/>
      <c r="T309" s="20"/>
      <c r="U309" s="16"/>
    </row>
    <row r="310" spans="3:21" ht="12.75">
      <c r="C310" s="18"/>
      <c r="D310" s="16"/>
      <c r="F310" s="16"/>
      <c r="H310" s="16"/>
      <c r="I310" s="58"/>
      <c r="J310" s="20"/>
      <c r="K310" s="18"/>
      <c r="L310" s="20"/>
      <c r="M310" s="18"/>
      <c r="N310" s="20"/>
      <c r="O310" s="18"/>
      <c r="P310" s="20"/>
      <c r="Q310" s="18"/>
      <c r="R310" s="20"/>
      <c r="S310" s="18"/>
      <c r="T310" s="20"/>
      <c r="U310" s="16"/>
    </row>
    <row r="311" spans="3:21" ht="12.75">
      <c r="C311" s="18"/>
      <c r="D311" s="16"/>
      <c r="F311" s="16"/>
      <c r="H311" s="16"/>
      <c r="I311" s="58"/>
      <c r="J311" s="20"/>
      <c r="K311" s="18"/>
      <c r="L311" s="20"/>
      <c r="M311" s="18"/>
      <c r="N311" s="20"/>
      <c r="O311" s="18"/>
      <c r="P311" s="20"/>
      <c r="Q311" s="18"/>
      <c r="R311" s="20"/>
      <c r="S311" s="18"/>
      <c r="T311" s="20"/>
      <c r="U311" s="16"/>
    </row>
    <row r="312" spans="3:21" ht="12.75">
      <c r="C312" s="18"/>
      <c r="D312" s="16"/>
      <c r="F312" s="16"/>
      <c r="H312" s="16"/>
      <c r="I312" s="58"/>
      <c r="J312" s="20"/>
      <c r="K312" s="18"/>
      <c r="L312" s="20"/>
      <c r="M312" s="18"/>
      <c r="N312" s="20"/>
      <c r="O312" s="18"/>
      <c r="P312" s="20"/>
      <c r="Q312" s="18"/>
      <c r="R312" s="20"/>
      <c r="S312" s="18"/>
      <c r="T312" s="20"/>
      <c r="U312" s="16"/>
    </row>
    <row r="313" spans="3:21" ht="12.75">
      <c r="C313" s="18"/>
      <c r="D313" s="16"/>
      <c r="F313" s="16"/>
      <c r="H313" s="16"/>
      <c r="I313" s="58"/>
      <c r="J313" s="20"/>
      <c r="K313" s="18"/>
      <c r="L313" s="20"/>
      <c r="M313" s="18"/>
      <c r="N313" s="20"/>
      <c r="O313" s="18"/>
      <c r="P313" s="20"/>
      <c r="Q313" s="18"/>
      <c r="R313" s="20"/>
      <c r="S313" s="18"/>
      <c r="T313" s="20"/>
      <c r="U313" s="16"/>
    </row>
    <row r="314" spans="3:21" ht="12.75">
      <c r="C314" s="18"/>
      <c r="D314" s="16"/>
      <c r="F314" s="16"/>
      <c r="H314" s="16"/>
      <c r="I314" s="58"/>
      <c r="J314" s="20"/>
      <c r="K314" s="18"/>
      <c r="L314" s="20"/>
      <c r="M314" s="18"/>
      <c r="N314" s="20"/>
      <c r="O314" s="18"/>
      <c r="P314" s="20"/>
      <c r="Q314" s="18"/>
      <c r="R314" s="20"/>
      <c r="S314" s="18"/>
      <c r="T314" s="20"/>
      <c r="U314" s="16"/>
    </row>
    <row r="315" spans="3:21" ht="12.75">
      <c r="C315" s="18"/>
      <c r="D315" s="16"/>
      <c r="F315" s="16"/>
      <c r="H315" s="16"/>
      <c r="I315" s="58"/>
      <c r="J315" s="20"/>
      <c r="K315" s="18"/>
      <c r="L315" s="20"/>
      <c r="M315" s="18"/>
      <c r="N315" s="20"/>
      <c r="O315" s="18"/>
      <c r="P315" s="20"/>
      <c r="Q315" s="18"/>
      <c r="R315" s="20"/>
      <c r="S315" s="18"/>
      <c r="T315" s="20"/>
      <c r="U315" s="16"/>
    </row>
    <row r="316" spans="3:21" ht="12.75">
      <c r="C316" s="18"/>
      <c r="D316" s="16"/>
      <c r="F316" s="16"/>
      <c r="H316" s="16"/>
      <c r="I316" s="58"/>
      <c r="J316" s="20"/>
      <c r="K316" s="18"/>
      <c r="L316" s="20"/>
      <c r="M316" s="18"/>
      <c r="N316" s="20"/>
      <c r="O316" s="18"/>
      <c r="P316" s="20"/>
      <c r="Q316" s="18"/>
      <c r="R316" s="20"/>
      <c r="S316" s="18"/>
      <c r="T316" s="20"/>
      <c r="U316" s="16"/>
    </row>
    <row r="317" spans="3:21" ht="12.75">
      <c r="C317" s="18"/>
      <c r="D317" s="16"/>
      <c r="F317" s="16"/>
      <c r="H317" s="16"/>
      <c r="I317" s="58"/>
      <c r="J317" s="20"/>
      <c r="K317" s="18"/>
      <c r="L317" s="20"/>
      <c r="M317" s="18"/>
      <c r="N317" s="20"/>
      <c r="O317" s="18"/>
      <c r="P317" s="20"/>
      <c r="Q317" s="18"/>
      <c r="R317" s="20"/>
      <c r="S317" s="18"/>
      <c r="T317" s="20"/>
      <c r="U317" s="16"/>
    </row>
    <row r="318" spans="3:21" ht="12.75">
      <c r="C318" s="18"/>
      <c r="D318" s="16"/>
      <c r="F318" s="16"/>
      <c r="H318" s="16"/>
      <c r="I318" s="58"/>
      <c r="J318" s="20"/>
      <c r="K318" s="18"/>
      <c r="L318" s="20"/>
      <c r="M318" s="18"/>
      <c r="N318" s="20"/>
      <c r="O318" s="18"/>
      <c r="P318" s="20"/>
      <c r="Q318" s="18"/>
      <c r="R318" s="20"/>
      <c r="S318" s="18"/>
      <c r="T318" s="20"/>
      <c r="U318" s="16"/>
    </row>
    <row r="319" spans="3:21" ht="12.75">
      <c r="C319" s="18"/>
      <c r="D319" s="16"/>
      <c r="F319" s="16"/>
      <c r="H319" s="16"/>
      <c r="I319" s="58"/>
      <c r="J319" s="20"/>
      <c r="K319" s="18"/>
      <c r="L319" s="20"/>
      <c r="M319" s="18"/>
      <c r="N319" s="20"/>
      <c r="O319" s="18"/>
      <c r="P319" s="20"/>
      <c r="Q319" s="18"/>
      <c r="R319" s="20"/>
      <c r="S319" s="18"/>
      <c r="T319" s="20"/>
      <c r="U319" s="16"/>
    </row>
    <row r="320" spans="3:21" ht="12.75">
      <c r="C320" s="18"/>
      <c r="D320" s="16"/>
      <c r="F320" s="16"/>
      <c r="H320" s="16"/>
      <c r="I320" s="58"/>
      <c r="J320" s="20"/>
      <c r="K320" s="18"/>
      <c r="L320" s="20"/>
      <c r="M320" s="18"/>
      <c r="N320" s="20"/>
      <c r="O320" s="18"/>
      <c r="P320" s="20"/>
      <c r="Q320" s="18"/>
      <c r="R320" s="20"/>
      <c r="S320" s="18"/>
      <c r="T320" s="20"/>
      <c r="U320" s="16"/>
    </row>
    <row r="321" spans="3:21" ht="12.75">
      <c r="C321" s="18"/>
      <c r="D321" s="16"/>
      <c r="F321" s="16"/>
      <c r="H321" s="16"/>
      <c r="I321" s="58"/>
      <c r="J321" s="20"/>
      <c r="K321" s="18"/>
      <c r="L321" s="20"/>
      <c r="M321" s="18"/>
      <c r="N321" s="20"/>
      <c r="O321" s="18"/>
      <c r="P321" s="20"/>
      <c r="Q321" s="18"/>
      <c r="R321" s="20"/>
      <c r="S321" s="18"/>
      <c r="T321" s="20"/>
      <c r="U321" s="16"/>
    </row>
    <row r="322" spans="3:21" ht="12.75">
      <c r="C322" s="18"/>
      <c r="D322" s="16"/>
      <c r="F322" s="16"/>
      <c r="H322" s="16"/>
      <c r="I322" s="58"/>
      <c r="J322" s="20"/>
      <c r="K322" s="18"/>
      <c r="L322" s="20"/>
      <c r="M322" s="18"/>
      <c r="N322" s="20"/>
      <c r="O322" s="18"/>
      <c r="P322" s="20"/>
      <c r="Q322" s="18"/>
      <c r="R322" s="20"/>
      <c r="S322" s="18"/>
      <c r="T322" s="20"/>
      <c r="U322" s="16"/>
    </row>
    <row r="323" spans="3:21" ht="12.75">
      <c r="C323" s="18"/>
      <c r="D323" s="16"/>
      <c r="F323" s="16"/>
      <c r="H323" s="16"/>
      <c r="I323" s="58"/>
      <c r="J323" s="20"/>
      <c r="K323" s="18"/>
      <c r="L323" s="20"/>
      <c r="M323" s="18"/>
      <c r="N323" s="20"/>
      <c r="O323" s="18"/>
      <c r="P323" s="20"/>
      <c r="Q323" s="18"/>
      <c r="R323" s="20"/>
      <c r="S323" s="18"/>
      <c r="T323" s="20"/>
      <c r="U323" s="16"/>
    </row>
    <row r="324" spans="3:21" ht="12.75">
      <c r="C324" s="18"/>
      <c r="D324" s="16"/>
      <c r="F324" s="16"/>
      <c r="H324" s="16"/>
      <c r="I324" s="58"/>
      <c r="J324" s="20"/>
      <c r="K324" s="18"/>
      <c r="L324" s="20"/>
      <c r="M324" s="18"/>
      <c r="N324" s="20"/>
      <c r="O324" s="18"/>
      <c r="P324" s="20"/>
      <c r="Q324" s="18"/>
      <c r="R324" s="20"/>
      <c r="S324" s="18"/>
      <c r="T324" s="20"/>
      <c r="U324" s="16"/>
    </row>
    <row r="325" spans="3:21" ht="12.75">
      <c r="C325" s="18"/>
      <c r="D325" s="16"/>
      <c r="F325" s="16"/>
      <c r="H325" s="16"/>
      <c r="I325" s="58"/>
      <c r="J325" s="20"/>
      <c r="K325" s="18"/>
      <c r="L325" s="20"/>
      <c r="M325" s="18"/>
      <c r="N325" s="20"/>
      <c r="O325" s="18"/>
      <c r="P325" s="20"/>
      <c r="Q325" s="18"/>
      <c r="R325" s="20"/>
      <c r="S325" s="18"/>
      <c r="T325" s="20"/>
      <c r="U325" s="16"/>
    </row>
    <row r="326" spans="3:21" ht="12.75">
      <c r="C326" s="18"/>
      <c r="D326" s="16"/>
      <c r="F326" s="16"/>
      <c r="H326" s="16"/>
      <c r="I326" s="58"/>
      <c r="J326" s="20"/>
      <c r="K326" s="18"/>
      <c r="L326" s="20"/>
      <c r="M326" s="18"/>
      <c r="N326" s="20"/>
      <c r="O326" s="18"/>
      <c r="P326" s="20"/>
      <c r="Q326" s="18"/>
      <c r="R326" s="20"/>
      <c r="S326" s="18"/>
      <c r="T326" s="20"/>
      <c r="U326" s="16"/>
    </row>
    <row r="327" spans="3:21" ht="12.75">
      <c r="C327" s="18"/>
      <c r="D327" s="16"/>
      <c r="F327" s="16"/>
      <c r="H327" s="16"/>
      <c r="I327" s="58"/>
      <c r="J327" s="20"/>
      <c r="K327" s="18"/>
      <c r="L327" s="20"/>
      <c r="M327" s="18"/>
      <c r="N327" s="20"/>
      <c r="O327" s="18"/>
      <c r="P327" s="20"/>
      <c r="Q327" s="18"/>
      <c r="R327" s="20"/>
      <c r="S327" s="18"/>
      <c r="T327" s="20"/>
      <c r="U327" s="16"/>
    </row>
    <row r="328" spans="3:21" ht="12.75">
      <c r="C328" s="18"/>
      <c r="D328" s="16"/>
      <c r="F328" s="16"/>
      <c r="H328" s="16"/>
      <c r="I328" s="58"/>
      <c r="J328" s="20"/>
      <c r="K328" s="18"/>
      <c r="L328" s="20"/>
      <c r="M328" s="18"/>
      <c r="N328" s="20"/>
      <c r="O328" s="18"/>
      <c r="P328" s="20"/>
      <c r="Q328" s="18"/>
      <c r="R328" s="20"/>
      <c r="S328" s="18"/>
      <c r="T328" s="20"/>
      <c r="U328" s="16"/>
    </row>
    <row r="329" spans="3:21" ht="12.75">
      <c r="C329" s="18"/>
      <c r="D329" s="16"/>
      <c r="F329" s="16"/>
      <c r="H329" s="16"/>
      <c r="I329" s="58"/>
      <c r="J329" s="20"/>
      <c r="K329" s="18"/>
      <c r="L329" s="20"/>
      <c r="M329" s="18"/>
      <c r="N329" s="20"/>
      <c r="O329" s="18"/>
      <c r="P329" s="20"/>
      <c r="Q329" s="18"/>
      <c r="R329" s="20"/>
      <c r="S329" s="18"/>
      <c r="T329" s="20"/>
      <c r="U329" s="16"/>
    </row>
    <row r="330" spans="3:21" ht="12.75">
      <c r="C330" s="18"/>
      <c r="D330" s="16"/>
      <c r="F330" s="16"/>
      <c r="H330" s="16"/>
      <c r="I330" s="58"/>
      <c r="J330" s="20"/>
      <c r="K330" s="18"/>
      <c r="L330" s="20"/>
      <c r="M330" s="18"/>
      <c r="N330" s="20"/>
      <c r="O330" s="18"/>
      <c r="P330" s="20"/>
      <c r="Q330" s="18"/>
      <c r="R330" s="20"/>
      <c r="S330" s="18"/>
      <c r="T330" s="20"/>
      <c r="U330" s="16"/>
    </row>
    <row r="331" spans="3:21" ht="12.75">
      <c r="C331" s="18"/>
      <c r="D331" s="16"/>
      <c r="F331" s="16"/>
      <c r="H331" s="16"/>
      <c r="I331" s="58"/>
      <c r="J331" s="20"/>
      <c r="K331" s="18"/>
      <c r="L331" s="20"/>
      <c r="M331" s="18"/>
      <c r="N331" s="20"/>
      <c r="O331" s="18"/>
      <c r="P331" s="20"/>
      <c r="Q331" s="18"/>
      <c r="R331" s="20"/>
      <c r="S331" s="18"/>
      <c r="T331" s="20"/>
      <c r="U331" s="16"/>
    </row>
    <row r="332" spans="3:21" ht="12.75">
      <c r="C332" s="18"/>
      <c r="D332" s="16"/>
      <c r="F332" s="16"/>
      <c r="H332" s="16"/>
      <c r="I332" s="58"/>
      <c r="J332" s="20"/>
      <c r="K332" s="18"/>
      <c r="L332" s="20"/>
      <c r="M332" s="18"/>
      <c r="N332" s="20"/>
      <c r="O332" s="18"/>
      <c r="P332" s="20"/>
      <c r="Q332" s="18"/>
      <c r="R332" s="20"/>
      <c r="S332" s="18"/>
      <c r="T332" s="20"/>
      <c r="U332" s="16"/>
    </row>
    <row r="333" spans="3:21" ht="12.75">
      <c r="C333" s="18"/>
      <c r="D333" s="16"/>
      <c r="F333" s="16"/>
      <c r="H333" s="16"/>
      <c r="I333" s="58"/>
      <c r="J333" s="20"/>
      <c r="K333" s="18"/>
      <c r="L333" s="20"/>
      <c r="M333" s="18"/>
      <c r="N333" s="20"/>
      <c r="O333" s="18"/>
      <c r="P333" s="20"/>
      <c r="Q333" s="18"/>
      <c r="R333" s="20"/>
      <c r="S333" s="18"/>
      <c r="T333" s="20"/>
      <c r="U333" s="16"/>
    </row>
    <row r="334" spans="3:21" ht="12.75">
      <c r="C334" s="18"/>
      <c r="D334" s="16"/>
      <c r="F334" s="16"/>
      <c r="H334" s="16"/>
      <c r="I334" s="58"/>
      <c r="J334" s="20"/>
      <c r="K334" s="18"/>
      <c r="L334" s="20"/>
      <c r="M334" s="18"/>
      <c r="N334" s="20"/>
      <c r="O334" s="18"/>
      <c r="P334" s="20"/>
      <c r="Q334" s="18"/>
      <c r="R334" s="20"/>
      <c r="S334" s="18"/>
      <c r="T334" s="20"/>
      <c r="U334" s="16"/>
    </row>
    <row r="335" spans="3:21" ht="12.75">
      <c r="C335" s="18"/>
      <c r="D335" s="16"/>
      <c r="F335" s="16"/>
      <c r="H335" s="16"/>
      <c r="I335" s="58"/>
      <c r="J335" s="20"/>
      <c r="K335" s="18"/>
      <c r="L335" s="20"/>
      <c r="M335" s="18"/>
      <c r="N335" s="20"/>
      <c r="O335" s="18"/>
      <c r="P335" s="20"/>
      <c r="Q335" s="18"/>
      <c r="R335" s="20"/>
      <c r="S335" s="18"/>
      <c r="T335" s="20"/>
      <c r="U335" s="16"/>
    </row>
    <row r="336" spans="3:21" ht="12.75">
      <c r="C336" s="18"/>
      <c r="D336" s="16"/>
      <c r="F336" s="16"/>
      <c r="H336" s="16"/>
      <c r="I336" s="58"/>
      <c r="J336" s="20"/>
      <c r="K336" s="18"/>
      <c r="L336" s="20"/>
      <c r="M336" s="18"/>
      <c r="N336" s="20"/>
      <c r="O336" s="18"/>
      <c r="P336" s="20"/>
      <c r="Q336" s="18"/>
      <c r="R336" s="20"/>
      <c r="S336" s="18"/>
      <c r="T336" s="20"/>
      <c r="U336" s="16"/>
    </row>
    <row r="337" spans="3:21" ht="12.75">
      <c r="C337" s="18"/>
      <c r="D337" s="16"/>
      <c r="F337" s="16"/>
      <c r="H337" s="16"/>
      <c r="I337" s="58"/>
      <c r="J337" s="20"/>
      <c r="K337" s="18"/>
      <c r="L337" s="20"/>
      <c r="M337" s="18"/>
      <c r="N337" s="20"/>
      <c r="O337" s="18"/>
      <c r="P337" s="20"/>
      <c r="Q337" s="18"/>
      <c r="R337" s="20"/>
      <c r="S337" s="18"/>
      <c r="T337" s="20"/>
      <c r="U337" s="16"/>
    </row>
    <row r="338" spans="3:21" ht="12.75">
      <c r="C338" s="18"/>
      <c r="D338" s="16"/>
      <c r="F338" s="16"/>
      <c r="H338" s="16"/>
      <c r="I338" s="58"/>
      <c r="J338" s="20"/>
      <c r="K338" s="18"/>
      <c r="L338" s="20"/>
      <c r="M338" s="18"/>
      <c r="N338" s="20"/>
      <c r="O338" s="18"/>
      <c r="P338" s="20"/>
      <c r="Q338" s="18"/>
      <c r="R338" s="20"/>
      <c r="S338" s="18"/>
      <c r="T338" s="20"/>
      <c r="U338" s="16"/>
    </row>
    <row r="339" spans="3:21" ht="12.75">
      <c r="C339" s="18"/>
      <c r="D339" s="16"/>
      <c r="F339" s="16"/>
      <c r="H339" s="16"/>
      <c r="I339" s="58"/>
      <c r="J339" s="20"/>
      <c r="K339" s="18"/>
      <c r="L339" s="20"/>
      <c r="M339" s="18"/>
      <c r="N339" s="20"/>
      <c r="O339" s="18"/>
      <c r="P339" s="20"/>
      <c r="Q339" s="18"/>
      <c r="R339" s="20"/>
      <c r="S339" s="18"/>
      <c r="T339" s="20"/>
      <c r="U339" s="16"/>
    </row>
    <row r="340" spans="3:21" ht="12.75">
      <c r="C340" s="18"/>
      <c r="D340" s="16"/>
      <c r="F340" s="16"/>
      <c r="H340" s="16"/>
      <c r="I340" s="58"/>
      <c r="J340" s="20"/>
      <c r="K340" s="18"/>
      <c r="L340" s="20"/>
      <c r="M340" s="18"/>
      <c r="N340" s="20"/>
      <c r="O340" s="18"/>
      <c r="P340" s="20"/>
      <c r="Q340" s="18"/>
      <c r="R340" s="20"/>
      <c r="S340" s="18"/>
      <c r="T340" s="20"/>
      <c r="U340" s="16"/>
    </row>
    <row r="341" spans="3:21" ht="12.75">
      <c r="C341" s="18"/>
      <c r="D341" s="16"/>
      <c r="F341" s="16"/>
      <c r="H341" s="16"/>
      <c r="I341" s="58"/>
      <c r="J341" s="20"/>
      <c r="K341" s="18"/>
      <c r="L341" s="20"/>
      <c r="M341" s="18"/>
      <c r="N341" s="20"/>
      <c r="O341" s="18"/>
      <c r="P341" s="20"/>
      <c r="Q341" s="18"/>
      <c r="R341" s="20"/>
      <c r="S341" s="18"/>
      <c r="T341" s="20"/>
      <c r="U341" s="16"/>
    </row>
    <row r="342" spans="3:21" ht="12.75">
      <c r="C342" s="18"/>
      <c r="D342" s="16"/>
      <c r="F342" s="16"/>
      <c r="H342" s="16"/>
      <c r="I342" s="58"/>
      <c r="J342" s="20"/>
      <c r="K342" s="18"/>
      <c r="L342" s="20"/>
      <c r="M342" s="18"/>
      <c r="N342" s="20"/>
      <c r="O342" s="18"/>
      <c r="P342" s="20"/>
      <c r="Q342" s="18"/>
      <c r="R342" s="20"/>
      <c r="S342" s="18"/>
      <c r="T342" s="20"/>
      <c r="U342" s="16"/>
    </row>
    <row r="343" spans="3:21" ht="12.75">
      <c r="C343" s="18"/>
      <c r="D343" s="16"/>
      <c r="F343" s="16"/>
      <c r="H343" s="16"/>
      <c r="I343" s="58"/>
      <c r="J343" s="20"/>
      <c r="K343" s="18"/>
      <c r="L343" s="20"/>
      <c r="M343" s="18"/>
      <c r="N343" s="20"/>
      <c r="O343" s="18"/>
      <c r="P343" s="20"/>
      <c r="Q343" s="18"/>
      <c r="R343" s="20"/>
      <c r="S343" s="18"/>
      <c r="T343" s="20"/>
      <c r="U343" s="16"/>
    </row>
    <row r="344" spans="3:21" ht="12.75">
      <c r="C344" s="18"/>
      <c r="D344" s="16"/>
      <c r="F344" s="16"/>
      <c r="H344" s="16"/>
      <c r="I344" s="58"/>
      <c r="J344" s="20"/>
      <c r="K344" s="18"/>
      <c r="L344" s="20"/>
      <c r="M344" s="18"/>
      <c r="N344" s="20"/>
      <c r="O344" s="18"/>
      <c r="P344" s="20"/>
      <c r="Q344" s="18"/>
      <c r="R344" s="20"/>
      <c r="S344" s="18"/>
      <c r="T344" s="20"/>
      <c r="U344" s="16"/>
    </row>
    <row r="345" spans="3:21" ht="12.75">
      <c r="C345" s="18"/>
      <c r="D345" s="16"/>
      <c r="F345" s="16"/>
      <c r="H345" s="16"/>
      <c r="I345" s="58"/>
      <c r="J345" s="20"/>
      <c r="K345" s="18"/>
      <c r="L345" s="20"/>
      <c r="M345" s="18"/>
      <c r="N345" s="20"/>
      <c r="O345" s="18"/>
      <c r="P345" s="20"/>
      <c r="Q345" s="18"/>
      <c r="R345" s="20"/>
      <c r="S345" s="18"/>
      <c r="T345" s="20"/>
      <c r="U345" s="16"/>
    </row>
    <row r="346" spans="3:21" ht="12.75">
      <c r="C346" s="18"/>
      <c r="D346" s="16"/>
      <c r="F346" s="16"/>
      <c r="H346" s="16"/>
      <c r="I346" s="58"/>
      <c r="J346" s="20"/>
      <c r="K346" s="18"/>
      <c r="L346" s="20"/>
      <c r="M346" s="18"/>
      <c r="N346" s="20"/>
      <c r="O346" s="18"/>
      <c r="P346" s="20"/>
      <c r="Q346" s="18"/>
      <c r="R346" s="20"/>
      <c r="S346" s="18"/>
      <c r="T346" s="20"/>
      <c r="U346" s="16"/>
    </row>
    <row r="347" spans="3:21" ht="12.75">
      <c r="C347" s="18"/>
      <c r="D347" s="16"/>
      <c r="F347" s="16"/>
      <c r="H347" s="16"/>
      <c r="I347" s="58"/>
      <c r="J347" s="20"/>
      <c r="K347" s="18"/>
      <c r="L347" s="20"/>
      <c r="M347" s="18"/>
      <c r="N347" s="20"/>
      <c r="O347" s="18"/>
      <c r="P347" s="20"/>
      <c r="Q347" s="18"/>
      <c r="R347" s="20"/>
      <c r="S347" s="18"/>
      <c r="T347" s="20"/>
      <c r="U347" s="16"/>
    </row>
    <row r="348" spans="3:21" ht="12.75">
      <c r="C348" s="18"/>
      <c r="D348" s="16"/>
      <c r="F348" s="16"/>
      <c r="H348" s="16"/>
      <c r="I348" s="58"/>
      <c r="J348" s="20"/>
      <c r="K348" s="18"/>
      <c r="L348" s="20"/>
      <c r="M348" s="18"/>
      <c r="N348" s="20"/>
      <c r="O348" s="18"/>
      <c r="P348" s="20"/>
      <c r="Q348" s="18"/>
      <c r="R348" s="20"/>
      <c r="S348" s="18"/>
      <c r="T348" s="20"/>
      <c r="U348" s="16"/>
    </row>
    <row r="349" spans="3:21" ht="12.75">
      <c r="C349" s="18"/>
      <c r="D349" s="16"/>
      <c r="F349" s="16"/>
      <c r="H349" s="16"/>
      <c r="I349" s="58"/>
      <c r="J349" s="20"/>
      <c r="K349" s="18"/>
      <c r="L349" s="20"/>
      <c r="M349" s="18"/>
      <c r="N349" s="20"/>
      <c r="O349" s="18"/>
      <c r="P349" s="20"/>
      <c r="Q349" s="18"/>
      <c r="R349" s="20"/>
      <c r="S349" s="18"/>
      <c r="T349" s="20"/>
      <c r="U349" s="16"/>
    </row>
    <row r="350" spans="3:21" ht="12.75">
      <c r="C350" s="18"/>
      <c r="D350" s="16"/>
      <c r="F350" s="16"/>
      <c r="H350" s="16"/>
      <c r="I350" s="58"/>
      <c r="J350" s="20"/>
      <c r="K350" s="18"/>
      <c r="L350" s="20"/>
      <c r="M350" s="18"/>
      <c r="N350" s="20"/>
      <c r="O350" s="18"/>
      <c r="P350" s="20"/>
      <c r="Q350" s="18"/>
      <c r="R350" s="20"/>
      <c r="S350" s="18"/>
      <c r="T350" s="20"/>
      <c r="U350" s="16"/>
    </row>
    <row r="351" spans="3:21" ht="12.75">
      <c r="C351" s="18"/>
      <c r="D351" s="16"/>
      <c r="F351" s="16"/>
      <c r="H351" s="16"/>
      <c r="I351" s="58"/>
      <c r="J351" s="20"/>
      <c r="K351" s="18"/>
      <c r="L351" s="20"/>
      <c r="M351" s="18"/>
      <c r="N351" s="20"/>
      <c r="O351" s="18"/>
      <c r="P351" s="20"/>
      <c r="Q351" s="18"/>
      <c r="R351" s="20"/>
      <c r="S351" s="18"/>
      <c r="T351" s="20"/>
      <c r="U351" s="16"/>
    </row>
    <row r="352" spans="3:21" ht="12.75">
      <c r="C352" s="18"/>
      <c r="D352" s="16"/>
      <c r="F352" s="16"/>
      <c r="H352" s="16"/>
      <c r="I352" s="58"/>
      <c r="J352" s="20"/>
      <c r="K352" s="18"/>
      <c r="L352" s="20"/>
      <c r="M352" s="18"/>
      <c r="N352" s="20"/>
      <c r="O352" s="18"/>
      <c r="P352" s="20"/>
      <c r="Q352" s="18"/>
      <c r="R352" s="20"/>
      <c r="S352" s="18"/>
      <c r="T352" s="20"/>
      <c r="U352" s="16"/>
    </row>
    <row r="353" spans="3:21" ht="12.75">
      <c r="C353" s="18"/>
      <c r="D353" s="16"/>
      <c r="F353" s="16"/>
      <c r="H353" s="16"/>
      <c r="I353" s="58"/>
      <c r="J353" s="20"/>
      <c r="K353" s="18"/>
      <c r="L353" s="20"/>
      <c r="M353" s="18"/>
      <c r="N353" s="20"/>
      <c r="O353" s="18"/>
      <c r="P353" s="20"/>
      <c r="Q353" s="18"/>
      <c r="R353" s="20"/>
      <c r="S353" s="18"/>
      <c r="T353" s="20"/>
      <c r="U353" s="16"/>
    </row>
    <row r="354" spans="3:21" ht="12.75">
      <c r="C354" s="18"/>
      <c r="D354" s="16"/>
      <c r="F354" s="16"/>
      <c r="H354" s="16"/>
      <c r="I354" s="58"/>
      <c r="J354" s="20"/>
      <c r="K354" s="18"/>
      <c r="L354" s="20"/>
      <c r="M354" s="18"/>
      <c r="N354" s="20"/>
      <c r="O354" s="18"/>
      <c r="P354" s="20"/>
      <c r="Q354" s="18"/>
      <c r="R354" s="20"/>
      <c r="S354" s="18"/>
      <c r="T354" s="20"/>
      <c r="U354" s="16"/>
    </row>
    <row r="355" spans="3:21" ht="12.75">
      <c r="C355" s="18"/>
      <c r="D355" s="16"/>
      <c r="F355" s="16"/>
      <c r="H355" s="16"/>
      <c r="I355" s="58"/>
      <c r="J355" s="20"/>
      <c r="K355" s="18"/>
      <c r="L355" s="20"/>
      <c r="M355" s="18"/>
      <c r="N355" s="20"/>
      <c r="O355" s="18"/>
      <c r="P355" s="20"/>
      <c r="Q355" s="18"/>
      <c r="R355" s="20"/>
      <c r="S355" s="18"/>
      <c r="T355" s="20"/>
      <c r="U355" s="16"/>
    </row>
    <row r="356" spans="3:21" ht="12.75">
      <c r="C356" s="18"/>
      <c r="D356" s="16"/>
      <c r="F356" s="16"/>
      <c r="H356" s="16"/>
      <c r="I356" s="58"/>
      <c r="J356" s="20"/>
      <c r="K356" s="18"/>
      <c r="L356" s="20"/>
      <c r="M356" s="18"/>
      <c r="N356" s="20"/>
      <c r="O356" s="18"/>
      <c r="P356" s="20"/>
      <c r="Q356" s="18"/>
      <c r="R356" s="20"/>
      <c r="S356" s="18"/>
      <c r="T356" s="20"/>
      <c r="U356" s="16"/>
    </row>
    <row r="357" spans="3:21" ht="12.75">
      <c r="C357" s="18"/>
      <c r="D357" s="16"/>
      <c r="F357" s="16"/>
      <c r="H357" s="16"/>
      <c r="I357" s="58"/>
      <c r="J357" s="20"/>
      <c r="K357" s="18"/>
      <c r="L357" s="20"/>
      <c r="M357" s="18"/>
      <c r="N357" s="20"/>
      <c r="O357" s="18"/>
      <c r="P357" s="20"/>
      <c r="Q357" s="18"/>
      <c r="R357" s="20"/>
      <c r="S357" s="18"/>
      <c r="T357" s="20"/>
      <c r="U357" s="16"/>
    </row>
    <row r="358" spans="3:21" ht="12.75">
      <c r="C358" s="18"/>
      <c r="D358" s="16"/>
      <c r="F358" s="16"/>
      <c r="H358" s="16"/>
      <c r="I358" s="58"/>
      <c r="J358" s="20"/>
      <c r="K358" s="18"/>
      <c r="L358" s="20"/>
      <c r="M358" s="18"/>
      <c r="N358" s="20"/>
      <c r="O358" s="18"/>
      <c r="P358" s="20"/>
      <c r="Q358" s="18"/>
      <c r="R358" s="20"/>
      <c r="S358" s="18"/>
      <c r="T358" s="20"/>
      <c r="U358" s="16"/>
    </row>
    <row r="359" spans="3:21" ht="12.75">
      <c r="C359" s="18"/>
      <c r="D359" s="16"/>
      <c r="F359" s="16"/>
      <c r="H359" s="16"/>
      <c r="I359" s="58"/>
      <c r="J359" s="20"/>
      <c r="K359" s="18"/>
      <c r="L359" s="20"/>
      <c r="M359" s="18"/>
      <c r="N359" s="20"/>
      <c r="O359" s="18"/>
      <c r="P359" s="20"/>
      <c r="Q359" s="18"/>
      <c r="R359" s="20"/>
      <c r="S359" s="18"/>
      <c r="T359" s="20"/>
      <c r="U359" s="16"/>
    </row>
    <row r="360" spans="3:21" ht="12.75">
      <c r="C360" s="18"/>
      <c r="D360" s="16"/>
      <c r="F360" s="16"/>
      <c r="H360" s="16"/>
      <c r="I360" s="58"/>
      <c r="J360" s="20"/>
      <c r="K360" s="18"/>
      <c r="L360" s="20"/>
      <c r="M360" s="18"/>
      <c r="N360" s="20"/>
      <c r="O360" s="18"/>
      <c r="P360" s="20"/>
      <c r="Q360" s="18"/>
      <c r="R360" s="20"/>
      <c r="S360" s="18"/>
      <c r="T360" s="20"/>
      <c r="U360" s="16"/>
    </row>
    <row r="361" spans="3:21" ht="12.75">
      <c r="C361" s="18"/>
      <c r="D361" s="16"/>
      <c r="F361" s="16"/>
      <c r="H361" s="16"/>
      <c r="I361" s="58"/>
      <c r="J361" s="20"/>
      <c r="K361" s="18"/>
      <c r="L361" s="20"/>
      <c r="M361" s="18"/>
      <c r="N361" s="20"/>
      <c r="O361" s="18"/>
      <c r="P361" s="20"/>
      <c r="Q361" s="18"/>
      <c r="R361" s="20"/>
      <c r="S361" s="18"/>
      <c r="T361" s="20"/>
      <c r="U361" s="16"/>
    </row>
    <row r="362" spans="3:21" ht="12.75">
      <c r="C362" s="18"/>
      <c r="D362" s="16"/>
      <c r="F362" s="16"/>
      <c r="H362" s="16"/>
      <c r="I362" s="58"/>
      <c r="J362" s="20"/>
      <c r="K362" s="18"/>
      <c r="L362" s="20"/>
      <c r="M362" s="18"/>
      <c r="N362" s="20"/>
      <c r="O362" s="18"/>
      <c r="P362" s="20"/>
      <c r="Q362" s="18"/>
      <c r="R362" s="20"/>
      <c r="S362" s="18"/>
      <c r="T362" s="20"/>
      <c r="U362" s="16"/>
    </row>
    <row r="363" spans="3:21" ht="12.75">
      <c r="C363" s="18"/>
      <c r="D363" s="16"/>
      <c r="F363" s="16"/>
      <c r="H363" s="16"/>
      <c r="I363" s="58"/>
      <c r="J363" s="20"/>
      <c r="K363" s="18"/>
      <c r="L363" s="20"/>
      <c r="M363" s="18"/>
      <c r="N363" s="20"/>
      <c r="O363" s="18"/>
      <c r="P363" s="20"/>
      <c r="Q363" s="18"/>
      <c r="R363" s="20"/>
      <c r="S363" s="18"/>
      <c r="T363" s="20"/>
      <c r="U363" s="16"/>
    </row>
    <row r="364" spans="3:21" ht="12.75">
      <c r="C364" s="18"/>
      <c r="D364" s="16"/>
      <c r="F364" s="16"/>
      <c r="H364" s="16"/>
      <c r="I364" s="58"/>
      <c r="J364" s="20"/>
      <c r="K364" s="18"/>
      <c r="L364" s="20"/>
      <c r="M364" s="18"/>
      <c r="N364" s="20"/>
      <c r="O364" s="18"/>
      <c r="P364" s="20"/>
      <c r="Q364" s="18"/>
      <c r="R364" s="20"/>
      <c r="S364" s="18"/>
      <c r="T364" s="20"/>
      <c r="U364" s="16"/>
    </row>
    <row r="365" spans="3:21" ht="12.75">
      <c r="C365" s="18"/>
      <c r="D365" s="16"/>
      <c r="F365" s="16"/>
      <c r="H365" s="16"/>
      <c r="I365" s="58"/>
      <c r="J365" s="20"/>
      <c r="K365" s="18"/>
      <c r="L365" s="20"/>
      <c r="M365" s="18"/>
      <c r="N365" s="20"/>
      <c r="O365" s="18"/>
      <c r="P365" s="20"/>
      <c r="Q365" s="18"/>
      <c r="R365" s="20"/>
      <c r="S365" s="18"/>
      <c r="T365" s="20"/>
      <c r="U365" s="16"/>
    </row>
    <row r="366" spans="3:21" ht="12.75">
      <c r="C366" s="18"/>
      <c r="D366" s="16"/>
      <c r="F366" s="16"/>
      <c r="H366" s="16"/>
      <c r="I366" s="58"/>
      <c r="J366" s="20"/>
      <c r="K366" s="18"/>
      <c r="L366" s="20"/>
      <c r="M366" s="18"/>
      <c r="N366" s="20"/>
      <c r="O366" s="18"/>
      <c r="P366" s="20"/>
      <c r="Q366" s="18"/>
      <c r="R366" s="20"/>
      <c r="S366" s="18"/>
      <c r="T366" s="20"/>
      <c r="U366" s="16"/>
    </row>
    <row r="367" spans="3:21" ht="12.75">
      <c r="C367" s="18"/>
      <c r="D367" s="16"/>
      <c r="F367" s="16"/>
      <c r="H367" s="16"/>
      <c r="I367" s="58"/>
      <c r="J367" s="20"/>
      <c r="K367" s="18"/>
      <c r="L367" s="20"/>
      <c r="M367" s="18"/>
      <c r="N367" s="20"/>
      <c r="O367" s="18"/>
      <c r="P367" s="20"/>
      <c r="Q367" s="18"/>
      <c r="R367" s="20"/>
      <c r="S367" s="18"/>
      <c r="T367" s="20"/>
      <c r="U367" s="16"/>
    </row>
    <row r="368" spans="3:21" ht="12.75">
      <c r="C368" s="18"/>
      <c r="D368" s="16"/>
      <c r="F368" s="16"/>
      <c r="H368" s="16"/>
      <c r="I368" s="58"/>
      <c r="J368" s="20"/>
      <c r="K368" s="18"/>
      <c r="L368" s="20"/>
      <c r="M368" s="18"/>
      <c r="N368" s="20"/>
      <c r="O368" s="18"/>
      <c r="P368" s="20"/>
      <c r="Q368" s="18"/>
      <c r="R368" s="20"/>
      <c r="S368" s="18"/>
      <c r="T368" s="20"/>
      <c r="U368" s="16"/>
    </row>
    <row r="369" spans="3:21" ht="12.75">
      <c r="C369" s="18"/>
      <c r="D369" s="16"/>
      <c r="F369" s="16"/>
      <c r="H369" s="16"/>
      <c r="I369" s="58"/>
      <c r="J369" s="20"/>
      <c r="K369" s="18"/>
      <c r="L369" s="20"/>
      <c r="M369" s="18"/>
      <c r="N369" s="20"/>
      <c r="O369" s="18"/>
      <c r="P369" s="20"/>
      <c r="Q369" s="18"/>
      <c r="R369" s="20"/>
      <c r="S369" s="18"/>
      <c r="T369" s="20"/>
      <c r="U369" s="16"/>
    </row>
    <row r="370" spans="3:21" ht="12.75">
      <c r="C370" s="18"/>
      <c r="D370" s="16"/>
      <c r="F370" s="16"/>
      <c r="H370" s="16"/>
      <c r="I370" s="58"/>
      <c r="J370" s="20"/>
      <c r="K370" s="18"/>
      <c r="L370" s="20"/>
      <c r="M370" s="18"/>
      <c r="N370" s="20"/>
      <c r="O370" s="18"/>
      <c r="P370" s="20"/>
      <c r="Q370" s="18"/>
      <c r="R370" s="20"/>
      <c r="S370" s="18"/>
      <c r="T370" s="20"/>
      <c r="U370" s="16"/>
    </row>
    <row r="371" spans="3:21" ht="12.75">
      <c r="C371" s="18"/>
      <c r="D371" s="16"/>
      <c r="F371" s="16"/>
      <c r="H371" s="16"/>
      <c r="I371" s="58"/>
      <c r="J371" s="20"/>
      <c r="K371" s="18"/>
      <c r="L371" s="20"/>
      <c r="M371" s="18"/>
      <c r="N371" s="20"/>
      <c r="O371" s="18"/>
      <c r="P371" s="20"/>
      <c r="Q371" s="18"/>
      <c r="R371" s="20"/>
      <c r="S371" s="18"/>
      <c r="T371" s="20"/>
      <c r="U371" s="16"/>
    </row>
    <row r="372" spans="3:21" ht="12.75">
      <c r="C372" s="18"/>
      <c r="D372" s="16"/>
      <c r="F372" s="16"/>
      <c r="H372" s="16"/>
      <c r="I372" s="58"/>
      <c r="J372" s="20"/>
      <c r="K372" s="18"/>
      <c r="L372" s="20"/>
      <c r="M372" s="18"/>
      <c r="N372" s="20"/>
      <c r="O372" s="18"/>
      <c r="P372" s="20"/>
      <c r="Q372" s="18"/>
      <c r="R372" s="20"/>
      <c r="S372" s="18"/>
      <c r="T372" s="20"/>
      <c r="U372" s="16"/>
    </row>
    <row r="373" spans="3:21" ht="12.75">
      <c r="C373" s="18"/>
      <c r="D373" s="16"/>
      <c r="F373" s="16"/>
      <c r="H373" s="16"/>
      <c r="I373" s="58"/>
      <c r="J373" s="20"/>
      <c r="K373" s="18"/>
      <c r="L373" s="20"/>
      <c r="M373" s="18"/>
      <c r="N373" s="20"/>
      <c r="O373" s="18"/>
      <c r="P373" s="20"/>
      <c r="Q373" s="18"/>
      <c r="R373" s="20"/>
      <c r="S373" s="18"/>
      <c r="T373" s="20"/>
      <c r="U373" s="16"/>
    </row>
    <row r="374" spans="3:21" ht="12.75">
      <c r="C374" s="18"/>
      <c r="D374" s="16"/>
      <c r="F374" s="16"/>
      <c r="H374" s="16"/>
      <c r="I374" s="58"/>
      <c r="J374" s="20"/>
      <c r="K374" s="18"/>
      <c r="L374" s="20"/>
      <c r="M374" s="18"/>
      <c r="N374" s="20"/>
      <c r="O374" s="18"/>
      <c r="P374" s="20"/>
      <c r="Q374" s="18"/>
      <c r="R374" s="20"/>
      <c r="S374" s="18"/>
      <c r="T374" s="20"/>
      <c r="U374" s="16"/>
    </row>
    <row r="375" spans="3:21" ht="12.75">
      <c r="C375" s="18"/>
      <c r="D375" s="16"/>
      <c r="F375" s="16"/>
      <c r="H375" s="16"/>
      <c r="I375" s="58"/>
      <c r="J375" s="20"/>
      <c r="K375" s="18"/>
      <c r="L375" s="20"/>
      <c r="M375" s="18"/>
      <c r="N375" s="20"/>
      <c r="O375" s="18"/>
      <c r="P375" s="20"/>
      <c r="Q375" s="18"/>
      <c r="R375" s="20"/>
      <c r="S375" s="18"/>
      <c r="T375" s="20"/>
      <c r="U375" s="16"/>
    </row>
    <row r="376" spans="3:21" ht="12.75">
      <c r="C376" s="18"/>
      <c r="D376" s="16"/>
      <c r="F376" s="16"/>
      <c r="H376" s="16"/>
      <c r="I376" s="58"/>
      <c r="J376" s="20"/>
      <c r="K376" s="18"/>
      <c r="L376" s="20"/>
      <c r="M376" s="18"/>
      <c r="N376" s="20"/>
      <c r="O376" s="18"/>
      <c r="P376" s="20"/>
      <c r="Q376" s="18"/>
      <c r="R376" s="20"/>
      <c r="S376" s="18"/>
      <c r="T376" s="20"/>
      <c r="U376" s="16"/>
    </row>
    <row r="377" spans="3:21" ht="12.75">
      <c r="C377" s="18"/>
      <c r="D377" s="16"/>
      <c r="F377" s="16"/>
      <c r="H377" s="16"/>
      <c r="I377" s="58"/>
      <c r="J377" s="20"/>
      <c r="K377" s="18"/>
      <c r="L377" s="20"/>
      <c r="M377" s="18"/>
      <c r="N377" s="20"/>
      <c r="O377" s="18"/>
      <c r="P377" s="20"/>
      <c r="Q377" s="18"/>
      <c r="R377" s="20"/>
      <c r="S377" s="18"/>
      <c r="T377" s="20"/>
      <c r="U377" s="16"/>
    </row>
    <row r="378" spans="3:21" ht="12.75">
      <c r="C378" s="18"/>
      <c r="D378" s="16"/>
      <c r="F378" s="16"/>
      <c r="H378" s="16"/>
      <c r="I378" s="58"/>
      <c r="J378" s="20"/>
      <c r="K378" s="18"/>
      <c r="L378" s="20"/>
      <c r="M378" s="18"/>
      <c r="N378" s="20"/>
      <c r="O378" s="18"/>
      <c r="P378" s="20"/>
      <c r="Q378" s="18"/>
      <c r="R378" s="20"/>
      <c r="S378" s="18"/>
      <c r="T378" s="20"/>
      <c r="U378" s="16"/>
    </row>
    <row r="379" spans="3:21" ht="12.75">
      <c r="C379" s="18"/>
      <c r="D379" s="16"/>
      <c r="F379" s="16"/>
      <c r="H379" s="16"/>
      <c r="I379" s="58"/>
      <c r="J379" s="20"/>
      <c r="K379" s="18"/>
      <c r="L379" s="20"/>
      <c r="M379" s="18"/>
      <c r="N379" s="20"/>
      <c r="O379" s="18"/>
      <c r="P379" s="20"/>
      <c r="Q379" s="18"/>
      <c r="R379" s="20"/>
      <c r="S379" s="18"/>
      <c r="T379" s="20"/>
      <c r="U379" s="16"/>
    </row>
    <row r="380" spans="3:21" ht="12.75">
      <c r="C380" s="18"/>
      <c r="D380" s="16"/>
      <c r="F380" s="16"/>
      <c r="H380" s="16"/>
      <c r="I380" s="58"/>
      <c r="J380" s="20"/>
      <c r="K380" s="18"/>
      <c r="L380" s="20"/>
      <c r="M380" s="18"/>
      <c r="N380" s="20"/>
      <c r="O380" s="18"/>
      <c r="P380" s="20"/>
      <c r="Q380" s="18"/>
      <c r="R380" s="20"/>
      <c r="S380" s="18"/>
      <c r="T380" s="20"/>
      <c r="U380" s="16"/>
    </row>
    <row r="381" spans="3:21" ht="12.75">
      <c r="C381" s="18"/>
      <c r="D381" s="16"/>
      <c r="F381" s="16"/>
      <c r="H381" s="16"/>
      <c r="I381" s="58"/>
      <c r="J381" s="20"/>
      <c r="K381" s="18"/>
      <c r="L381" s="20"/>
      <c r="M381" s="18"/>
      <c r="N381" s="20"/>
      <c r="O381" s="18"/>
      <c r="P381" s="20"/>
      <c r="Q381" s="18"/>
      <c r="R381" s="20"/>
      <c r="S381" s="18"/>
      <c r="T381" s="20"/>
      <c r="U381" s="16"/>
    </row>
    <row r="382" spans="3:21" ht="12.75">
      <c r="C382" s="18"/>
      <c r="D382" s="16"/>
      <c r="F382" s="16"/>
      <c r="H382" s="16"/>
      <c r="I382" s="58"/>
      <c r="J382" s="20"/>
      <c r="K382" s="18"/>
      <c r="L382" s="20"/>
      <c r="M382" s="18"/>
      <c r="N382" s="20"/>
      <c r="O382" s="18"/>
      <c r="P382" s="20"/>
      <c r="Q382" s="18"/>
      <c r="R382" s="20"/>
      <c r="S382" s="18"/>
      <c r="T382" s="20"/>
      <c r="U382" s="16"/>
    </row>
    <row r="383" spans="3:21" ht="12.75">
      <c r="C383" s="18"/>
      <c r="D383" s="16"/>
      <c r="F383" s="16"/>
      <c r="H383" s="16"/>
      <c r="I383" s="58"/>
      <c r="J383" s="20"/>
      <c r="K383" s="18"/>
      <c r="L383" s="20"/>
      <c r="M383" s="18"/>
      <c r="N383" s="20"/>
      <c r="O383" s="18"/>
      <c r="P383" s="20"/>
      <c r="Q383" s="18"/>
      <c r="R383" s="20"/>
      <c r="S383" s="18"/>
      <c r="T383" s="20"/>
      <c r="U383" s="16"/>
    </row>
    <row r="384" spans="3:21" ht="12.75">
      <c r="C384" s="18"/>
      <c r="D384" s="16"/>
      <c r="F384" s="16"/>
      <c r="H384" s="16"/>
      <c r="I384" s="58"/>
      <c r="J384" s="20"/>
      <c r="K384" s="18"/>
      <c r="L384" s="20"/>
      <c r="M384" s="18"/>
      <c r="N384" s="20"/>
      <c r="O384" s="18"/>
      <c r="P384" s="20"/>
      <c r="Q384" s="18"/>
      <c r="R384" s="20"/>
      <c r="S384" s="18"/>
      <c r="T384" s="20"/>
      <c r="U384" s="16"/>
    </row>
    <row r="385" spans="3:21" ht="12.75">
      <c r="C385" s="18"/>
      <c r="D385" s="16"/>
      <c r="F385" s="16"/>
      <c r="H385" s="16"/>
      <c r="I385" s="58"/>
      <c r="J385" s="20"/>
      <c r="K385" s="18"/>
      <c r="L385" s="20"/>
      <c r="M385" s="18"/>
      <c r="N385" s="20"/>
      <c r="O385" s="18"/>
      <c r="P385" s="20"/>
      <c r="Q385" s="18"/>
      <c r="R385" s="20"/>
      <c r="S385" s="18"/>
      <c r="T385" s="20"/>
      <c r="U385" s="16"/>
    </row>
    <row r="386" spans="3:21" ht="12.75">
      <c r="C386" s="18"/>
      <c r="D386" s="16"/>
      <c r="F386" s="16"/>
      <c r="H386" s="16"/>
      <c r="I386" s="58"/>
      <c r="J386" s="20"/>
      <c r="K386" s="18"/>
      <c r="L386" s="20"/>
      <c r="M386" s="18"/>
      <c r="N386" s="20"/>
      <c r="O386" s="18"/>
      <c r="P386" s="20"/>
      <c r="Q386" s="18"/>
      <c r="R386" s="20"/>
      <c r="S386" s="18"/>
      <c r="T386" s="20"/>
      <c r="U386" s="16"/>
    </row>
    <row r="387" spans="3:21" ht="12.75">
      <c r="C387" s="18"/>
      <c r="D387" s="16"/>
      <c r="F387" s="16"/>
      <c r="H387" s="16"/>
      <c r="I387" s="58"/>
      <c r="J387" s="20"/>
      <c r="K387" s="18"/>
      <c r="L387" s="20"/>
      <c r="M387" s="18"/>
      <c r="N387" s="20"/>
      <c r="O387" s="18"/>
      <c r="P387" s="20"/>
      <c r="Q387" s="18"/>
      <c r="R387" s="20"/>
      <c r="S387" s="18"/>
      <c r="T387" s="20"/>
      <c r="U387" s="16"/>
    </row>
    <row r="388" spans="3:21" ht="12.75">
      <c r="C388" s="18"/>
      <c r="D388" s="16"/>
      <c r="F388" s="16"/>
      <c r="H388" s="16"/>
      <c r="I388" s="58"/>
      <c r="J388" s="20"/>
      <c r="K388" s="18"/>
      <c r="L388" s="20"/>
      <c r="M388" s="18"/>
      <c r="N388" s="20"/>
      <c r="O388" s="18"/>
      <c r="P388" s="20"/>
      <c r="Q388" s="18"/>
      <c r="R388" s="20"/>
      <c r="S388" s="18"/>
      <c r="T388" s="20"/>
      <c r="U388" s="16"/>
    </row>
    <row r="389" spans="3:21" ht="12.75">
      <c r="C389" s="18"/>
      <c r="D389" s="16"/>
      <c r="F389" s="16"/>
      <c r="H389" s="16"/>
      <c r="I389" s="58"/>
      <c r="J389" s="20"/>
      <c r="K389" s="18"/>
      <c r="L389" s="20"/>
      <c r="M389" s="18"/>
      <c r="N389" s="20"/>
      <c r="O389" s="18"/>
      <c r="P389" s="20"/>
      <c r="Q389" s="18"/>
      <c r="R389" s="20"/>
      <c r="S389" s="18"/>
      <c r="T389" s="20"/>
      <c r="U389" s="16"/>
    </row>
    <row r="390" spans="3:21" ht="12.75">
      <c r="C390" s="18"/>
      <c r="D390" s="16"/>
      <c r="F390" s="16"/>
      <c r="H390" s="16"/>
      <c r="I390" s="58"/>
      <c r="J390" s="20"/>
      <c r="K390" s="18"/>
      <c r="L390" s="20"/>
      <c r="M390" s="18"/>
      <c r="N390" s="20"/>
      <c r="O390" s="18"/>
      <c r="P390" s="20"/>
      <c r="Q390" s="18"/>
      <c r="R390" s="20"/>
      <c r="S390" s="18"/>
      <c r="T390" s="20"/>
      <c r="U390" s="16"/>
    </row>
    <row r="391" spans="3:21" ht="12.75">
      <c r="C391" s="18"/>
      <c r="D391" s="16"/>
      <c r="F391" s="16"/>
      <c r="H391" s="16"/>
      <c r="I391" s="58"/>
      <c r="J391" s="20"/>
      <c r="K391" s="18"/>
      <c r="L391" s="20"/>
      <c r="M391" s="18"/>
      <c r="N391" s="20"/>
      <c r="O391" s="18"/>
      <c r="P391" s="20"/>
      <c r="Q391" s="18"/>
      <c r="R391" s="20"/>
      <c r="S391" s="18"/>
      <c r="T391" s="20"/>
      <c r="U391" s="16"/>
    </row>
    <row r="392" spans="3:21" ht="12.75">
      <c r="C392" s="18"/>
      <c r="D392" s="16"/>
      <c r="F392" s="16"/>
      <c r="H392" s="16"/>
      <c r="I392" s="58"/>
      <c r="J392" s="20"/>
      <c r="K392" s="18"/>
      <c r="L392" s="20"/>
      <c r="M392" s="18"/>
      <c r="N392" s="20"/>
      <c r="O392" s="18"/>
      <c r="P392" s="20"/>
      <c r="Q392" s="18"/>
      <c r="R392" s="20"/>
      <c r="S392" s="18"/>
      <c r="T392" s="20"/>
      <c r="U392" s="16"/>
    </row>
    <row r="393" spans="3:21" ht="12.75">
      <c r="C393" s="18"/>
      <c r="D393" s="16"/>
      <c r="F393" s="16"/>
      <c r="H393" s="16"/>
      <c r="I393" s="58"/>
      <c r="J393" s="20"/>
      <c r="K393" s="18"/>
      <c r="L393" s="20"/>
      <c r="M393" s="18"/>
      <c r="N393" s="20"/>
      <c r="O393" s="18"/>
      <c r="P393" s="20"/>
      <c r="Q393" s="18"/>
      <c r="R393" s="20"/>
      <c r="S393" s="18"/>
      <c r="T393" s="20"/>
      <c r="U393" s="16"/>
    </row>
    <row r="394" spans="3:21" ht="12.75">
      <c r="C394" s="18"/>
      <c r="D394" s="16"/>
      <c r="F394" s="16"/>
      <c r="H394" s="16"/>
      <c r="I394" s="58"/>
      <c r="J394" s="20"/>
      <c r="K394" s="18"/>
      <c r="L394" s="20"/>
      <c r="M394" s="18"/>
      <c r="N394" s="20"/>
      <c r="O394" s="18"/>
      <c r="P394" s="20"/>
      <c r="Q394" s="18"/>
      <c r="R394" s="20"/>
      <c r="S394" s="18"/>
      <c r="T394" s="20"/>
      <c r="U394" s="16"/>
    </row>
    <row r="395" spans="3:21" ht="12.75">
      <c r="C395" s="18"/>
      <c r="D395" s="16"/>
      <c r="F395" s="16"/>
      <c r="H395" s="16"/>
      <c r="I395" s="58"/>
      <c r="J395" s="20"/>
      <c r="K395" s="18"/>
      <c r="L395" s="20"/>
      <c r="M395" s="18"/>
      <c r="N395" s="20"/>
      <c r="O395" s="18"/>
      <c r="P395" s="20"/>
      <c r="Q395" s="18"/>
      <c r="R395" s="20"/>
      <c r="S395" s="18"/>
      <c r="T395" s="20"/>
      <c r="U395" s="16"/>
    </row>
  </sheetData>
  <sheetProtection/>
  <printOptions gridLines="1"/>
  <pageMargins left="0.26" right="0.5" top="0.8" bottom="1" header="0.5" footer="0.5"/>
  <pageSetup fitToHeight="1" fitToWidth="1" horizontalDpi="300" verticalDpi="300" orientation="landscape" paperSize="5" r:id="rId1"/>
  <headerFooter alignWithMargins="0">
    <oddFooter>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zoomScalePageLayoutView="0" workbookViewId="0" topLeftCell="F1">
      <selection activeCell="J23" sqref="J23"/>
    </sheetView>
  </sheetViews>
  <sheetFormatPr defaultColWidth="9.28125" defaultRowHeight="12.75"/>
  <cols>
    <col min="1" max="1" width="4.00390625" style="21" hidden="1" customWidth="1"/>
    <col min="2" max="2" width="27.421875" style="21" hidden="1" customWidth="1"/>
    <col min="3" max="3" width="0" style="19" hidden="1" customWidth="1"/>
    <col min="4" max="4" width="11.421875" style="20" hidden="1" customWidth="1"/>
    <col min="5" max="5" width="0" style="19" hidden="1" customWidth="1"/>
    <col min="6" max="6" width="3.57421875" style="21" customWidth="1"/>
    <col min="7" max="7" width="26.7109375" style="21" customWidth="1"/>
    <col min="8" max="8" width="7.7109375" style="21" customWidth="1"/>
    <col min="9" max="9" width="9.8515625" style="20" bestFit="1" customWidth="1"/>
    <col min="10" max="10" width="11.7109375" style="154" customWidth="1"/>
    <col min="11" max="11" width="9.7109375" style="20" bestFit="1" customWidth="1"/>
    <col min="12" max="12" width="9.28125" style="21" customWidth="1"/>
    <col min="13" max="13" width="17.421875" style="21" customWidth="1"/>
    <col min="14" max="14" width="9.28125" style="21" customWidth="1"/>
    <col min="15" max="15" width="11.421875" style="21" customWidth="1"/>
    <col min="16" max="16" width="10.57421875" style="21" customWidth="1"/>
    <col min="17" max="17" width="13.00390625" style="21" customWidth="1"/>
    <col min="18" max="18" width="13.57421875" style="21" bestFit="1" customWidth="1"/>
    <col min="19" max="19" width="15.57421875" style="21" customWidth="1"/>
    <col min="20" max="20" width="12.57421875" style="21" customWidth="1"/>
    <col min="21" max="22" width="9.28125" style="21" customWidth="1"/>
    <col min="23" max="23" width="9.8515625" style="21" bestFit="1" customWidth="1"/>
    <col min="24" max="16384" width="9.28125" style="21" customWidth="1"/>
  </cols>
  <sheetData>
    <row r="1" spans="3:22" s="32" customFormat="1" ht="31.5" customHeight="1">
      <c r="C1" s="150" t="s">
        <v>34</v>
      </c>
      <c r="D1" s="150" t="s">
        <v>122</v>
      </c>
      <c r="E1" s="150" t="s">
        <v>123</v>
      </c>
      <c r="G1" s="32" t="s">
        <v>124</v>
      </c>
      <c r="J1" s="151"/>
      <c r="K1" s="152"/>
      <c r="M1" s="32" t="s">
        <v>125</v>
      </c>
      <c r="S1" s="32" t="s">
        <v>224</v>
      </c>
      <c r="V1" s="278"/>
    </row>
    <row r="2" spans="1:20" ht="16.5" customHeight="1">
      <c r="A2" s="35"/>
      <c r="B2" s="153">
        <v>37468</v>
      </c>
      <c r="C2" s="19">
        <v>1138.57</v>
      </c>
      <c r="D2" s="154">
        <v>98506.43</v>
      </c>
      <c r="G2" s="155" t="s">
        <v>126</v>
      </c>
      <c r="H2" s="35"/>
      <c r="M2" s="155" t="s">
        <v>126</v>
      </c>
      <c r="N2" s="35"/>
      <c r="O2" s="20"/>
      <c r="P2" s="154"/>
      <c r="Q2" s="20"/>
      <c r="S2" s="21" t="s">
        <v>225</v>
      </c>
      <c r="T2" s="183">
        <v>4366</v>
      </c>
    </row>
    <row r="3" spans="1:17" ht="16.5" customHeight="1" hidden="1">
      <c r="A3" s="35"/>
      <c r="B3" s="153">
        <v>37499</v>
      </c>
      <c r="C3" s="19">
        <v>1238.85</v>
      </c>
      <c r="D3" s="154">
        <v>107310.2</v>
      </c>
      <c r="G3" s="21" t="s">
        <v>127</v>
      </c>
      <c r="H3" s="35"/>
      <c r="I3" s="156">
        <f>K27</f>
        <v>92.54904761904761</v>
      </c>
      <c r="M3" s="21" t="s">
        <v>127</v>
      </c>
      <c r="N3" s="35"/>
      <c r="O3" s="156">
        <f>Q27</f>
        <v>0</v>
      </c>
      <c r="P3" s="154"/>
      <c r="Q3" s="20"/>
    </row>
    <row r="4" spans="1:17" ht="16.5" customHeight="1" hidden="1">
      <c r="A4" s="35"/>
      <c r="B4" s="153">
        <v>37529</v>
      </c>
      <c r="C4" s="19">
        <v>760.3</v>
      </c>
      <c r="D4" s="154">
        <v>64910.63</v>
      </c>
      <c r="G4" s="21" t="s">
        <v>128</v>
      </c>
      <c r="H4" s="157">
        <v>0.03</v>
      </c>
      <c r="I4" s="158"/>
      <c r="M4" s="21" t="s">
        <v>128</v>
      </c>
      <c r="N4" s="157">
        <v>0.03</v>
      </c>
      <c r="O4" s="158"/>
      <c r="P4" s="154"/>
      <c r="Q4" s="20"/>
    </row>
    <row r="5" spans="1:17" ht="16.5" customHeight="1" hidden="1">
      <c r="A5" s="35"/>
      <c r="B5" s="159" t="s">
        <v>129</v>
      </c>
      <c r="C5" s="160">
        <f>SUM(C2:C4)</f>
        <v>3137.7200000000003</v>
      </c>
      <c r="D5" s="161">
        <f>SUM(D2:D4)</f>
        <v>270727.26</v>
      </c>
      <c r="E5" s="160">
        <f>D5/C5</f>
        <v>86.28152288923167</v>
      </c>
      <c r="G5" s="21" t="s">
        <v>130</v>
      </c>
      <c r="H5" s="35"/>
      <c r="I5" s="162"/>
      <c r="J5" s="163"/>
      <c r="M5" s="21" t="s">
        <v>130</v>
      </c>
      <c r="N5" s="35"/>
      <c r="O5" s="162"/>
      <c r="P5" s="163"/>
      <c r="Q5" s="20"/>
    </row>
    <row r="6" spans="1:18" ht="16.5" customHeight="1">
      <c r="A6" s="35"/>
      <c r="B6" s="153">
        <v>37560</v>
      </c>
      <c r="C6" s="19">
        <v>697.83</v>
      </c>
      <c r="D6" s="154">
        <v>59390.96</v>
      </c>
      <c r="G6" s="35" t="s">
        <v>123</v>
      </c>
      <c r="J6" s="164">
        <v>86.67</v>
      </c>
      <c r="K6" s="20" t="s">
        <v>206</v>
      </c>
      <c r="M6" s="35" t="s">
        <v>123</v>
      </c>
      <c r="O6" s="20"/>
      <c r="P6" s="218">
        <v>90</v>
      </c>
      <c r="Q6" s="20"/>
      <c r="R6" s="191">
        <f>SUM(P6*O23)-T2</f>
        <v>85634</v>
      </c>
    </row>
    <row r="7" spans="1:17" ht="16.5" customHeight="1">
      <c r="A7" s="35"/>
      <c r="B7" s="153">
        <v>37590</v>
      </c>
      <c r="C7" s="19">
        <v>540.92</v>
      </c>
      <c r="D7" s="154">
        <v>45496.25</v>
      </c>
      <c r="H7" s="19"/>
      <c r="N7" s="19"/>
      <c r="O7" s="20"/>
      <c r="P7" s="154">
        <f>P11+P18</f>
        <v>54.416666666666664</v>
      </c>
      <c r="Q7" s="20"/>
    </row>
    <row r="8" spans="1:17" ht="16.5" customHeight="1">
      <c r="A8" s="35"/>
      <c r="B8" s="153">
        <v>37621</v>
      </c>
      <c r="C8" s="19">
        <v>493.59</v>
      </c>
      <c r="D8" s="154">
        <v>41310.47</v>
      </c>
      <c r="G8" s="155" t="s">
        <v>131</v>
      </c>
      <c r="M8" s="155" t="s">
        <v>131</v>
      </c>
      <c r="O8" s="20"/>
      <c r="P8" s="154"/>
      <c r="Q8" s="20"/>
    </row>
    <row r="9" spans="1:20" ht="16.5" customHeight="1">
      <c r="A9" s="35"/>
      <c r="B9" s="153">
        <v>37652</v>
      </c>
      <c r="C9" s="19">
        <v>420.5</v>
      </c>
      <c r="D9" s="154">
        <v>34842.24</v>
      </c>
      <c r="G9" s="21" t="s">
        <v>132</v>
      </c>
      <c r="I9" s="247">
        <v>682.64</v>
      </c>
      <c r="M9" s="21" t="s">
        <v>132</v>
      </c>
      <c r="O9" s="247">
        <v>623</v>
      </c>
      <c r="P9" s="154"/>
      <c r="Q9" s="20"/>
      <c r="S9" s="21" t="s">
        <v>185</v>
      </c>
      <c r="T9" s="211">
        <f>SUM(O9*10)</f>
        <v>6230</v>
      </c>
    </row>
    <row r="10" spans="1:23" ht="16.5" customHeight="1">
      <c r="A10" s="35"/>
      <c r="B10" s="153">
        <v>37680</v>
      </c>
      <c r="C10" s="19">
        <v>325.46</v>
      </c>
      <c r="D10" s="154">
        <v>27285.23</v>
      </c>
      <c r="G10" s="21" t="s">
        <v>133</v>
      </c>
      <c r="I10" s="165">
        <v>28</v>
      </c>
      <c r="M10" s="21" t="s">
        <v>133</v>
      </c>
      <c r="O10" s="165">
        <v>24</v>
      </c>
      <c r="P10" s="154"/>
      <c r="Q10" s="20"/>
      <c r="W10" s="183"/>
    </row>
    <row r="11" spans="1:22" ht="16.5" customHeight="1">
      <c r="A11" s="35"/>
      <c r="B11" s="153">
        <v>37711</v>
      </c>
      <c r="C11" s="19">
        <v>465.3</v>
      </c>
      <c r="D11" s="154">
        <v>40050.46</v>
      </c>
      <c r="G11" s="35" t="s">
        <v>123</v>
      </c>
      <c r="J11" s="164">
        <f>I9/I10</f>
        <v>24.38</v>
      </c>
      <c r="M11" s="35" t="s">
        <v>123</v>
      </c>
      <c r="O11" s="20"/>
      <c r="P11" s="166">
        <f>O9/O10</f>
        <v>25.958333333333332</v>
      </c>
      <c r="Q11" s="20"/>
      <c r="V11" s="211"/>
    </row>
    <row r="12" spans="1:20" ht="16.5" customHeight="1" thickBot="1">
      <c r="A12" s="35"/>
      <c r="B12" s="153">
        <v>37741</v>
      </c>
      <c r="C12" s="19">
        <v>529.59</v>
      </c>
      <c r="D12" s="154">
        <v>45923.22</v>
      </c>
      <c r="H12" s="19"/>
      <c r="N12" s="19"/>
      <c r="O12" s="20"/>
      <c r="P12" s="167"/>
      <c r="Q12" s="20"/>
      <c r="S12" s="36" t="s">
        <v>186</v>
      </c>
      <c r="T12" s="211">
        <f>SUM(O15*10)</f>
        <v>6830</v>
      </c>
    </row>
    <row r="13" spans="1:23" ht="16.5" customHeight="1" thickTop="1">
      <c r="A13" s="35"/>
      <c r="B13" s="153">
        <v>37772</v>
      </c>
      <c r="C13" s="19">
        <v>759.1</v>
      </c>
      <c r="D13" s="154">
        <v>66869.03</v>
      </c>
      <c r="H13" s="19"/>
      <c r="K13" s="239"/>
      <c r="N13" s="19"/>
      <c r="O13" s="20"/>
      <c r="P13" s="154"/>
      <c r="Q13" s="20"/>
      <c r="R13" s="21" t="s">
        <v>158</v>
      </c>
      <c r="W13" s="212"/>
    </row>
    <row r="14" spans="1:17" ht="16.5" customHeight="1">
      <c r="A14" s="35"/>
      <c r="B14" s="153">
        <v>37802</v>
      </c>
      <c r="C14" s="19">
        <v>990.38</v>
      </c>
      <c r="D14" s="154">
        <v>87976.28</v>
      </c>
      <c r="G14" s="155" t="s">
        <v>39</v>
      </c>
      <c r="H14" s="19"/>
      <c r="M14" s="155" t="s">
        <v>39</v>
      </c>
      <c r="N14" s="19"/>
      <c r="O14" s="20"/>
      <c r="P14" s="154"/>
      <c r="Q14" s="20"/>
    </row>
    <row r="15" spans="1:20" ht="16.5" customHeight="1" thickBot="1">
      <c r="A15" s="35"/>
      <c r="B15" s="159" t="s">
        <v>134</v>
      </c>
      <c r="C15" s="160">
        <f>SUM(C5:C14)</f>
        <v>8360.390000000001</v>
      </c>
      <c r="D15" s="161">
        <f>SUM(D5:D14)</f>
        <v>719871.4000000001</v>
      </c>
      <c r="E15" s="160">
        <f>D15/C15</f>
        <v>86.10500227860184</v>
      </c>
      <c r="G15" s="21" t="s">
        <v>132</v>
      </c>
      <c r="I15" s="247">
        <v>683</v>
      </c>
      <c r="J15" s="234">
        <v>0.03</v>
      </c>
      <c r="M15" s="21" t="s">
        <v>132</v>
      </c>
      <c r="O15" s="247">
        <v>683</v>
      </c>
      <c r="P15" s="154"/>
      <c r="Q15" s="20"/>
      <c r="R15" s="183">
        <f>P11</f>
        <v>25.958333333333332</v>
      </c>
      <c r="S15" s="190" t="s">
        <v>61</v>
      </c>
      <c r="T15" s="183">
        <f>SUM(R15*O23)</f>
        <v>25958.333333333332</v>
      </c>
    </row>
    <row r="16" spans="1:20" ht="16.5" customHeight="1" thickTop="1">
      <c r="A16" s="35"/>
      <c r="B16" s="153">
        <v>37833</v>
      </c>
      <c r="C16" s="19">
        <v>1273.76</v>
      </c>
      <c r="D16" s="154">
        <v>112887.55</v>
      </c>
      <c r="G16" s="21" t="s">
        <v>133</v>
      </c>
      <c r="I16" s="165">
        <v>28</v>
      </c>
      <c r="M16" s="21" t="s">
        <v>133</v>
      </c>
      <c r="O16" s="165">
        <v>24</v>
      </c>
      <c r="P16" s="154"/>
      <c r="Q16" s="20"/>
      <c r="R16" s="183">
        <f>P18</f>
        <v>28.458333333333332</v>
      </c>
      <c r="S16" s="190" t="s">
        <v>159</v>
      </c>
      <c r="T16" s="183">
        <f>R16*O23</f>
        <v>28458.333333333332</v>
      </c>
    </row>
    <row r="17" spans="1:19" ht="16.5" customHeight="1">
      <c r="A17" s="35"/>
      <c r="B17" s="153">
        <v>37864</v>
      </c>
      <c r="C17" s="19">
        <v>1357.7</v>
      </c>
      <c r="D17" s="154">
        <v>120555.96</v>
      </c>
      <c r="G17" s="35" t="s">
        <v>123</v>
      </c>
      <c r="J17" s="166">
        <f>I15/I16</f>
        <v>24.392857142857142</v>
      </c>
      <c r="M17" s="35" t="s">
        <v>123</v>
      </c>
      <c r="O17" s="20"/>
      <c r="P17" s="166">
        <f>O15/O16</f>
        <v>28.458333333333332</v>
      </c>
      <c r="Q17" s="20"/>
      <c r="R17" s="184"/>
      <c r="S17" s="190"/>
    </row>
    <row r="18" spans="1:20" ht="16.5" customHeight="1" thickBot="1">
      <c r="A18" s="35"/>
      <c r="B18" s="153">
        <v>37894</v>
      </c>
      <c r="C18" s="19">
        <v>858.05</v>
      </c>
      <c r="D18" s="154">
        <v>74983.51</v>
      </c>
      <c r="G18" s="35" t="s">
        <v>135</v>
      </c>
      <c r="H18" s="19"/>
      <c r="J18" s="167">
        <f>J11+J17</f>
        <v>48.77285714285714</v>
      </c>
      <c r="M18" s="35" t="s">
        <v>135</v>
      </c>
      <c r="N18" s="19"/>
      <c r="O18" s="20"/>
      <c r="P18" s="167">
        <f>SUM(P17)</f>
        <v>28.458333333333332</v>
      </c>
      <c r="Q18" s="20"/>
      <c r="R18" s="183" t="s">
        <v>183</v>
      </c>
      <c r="S18" s="99"/>
      <c r="T18" s="183">
        <f>SUM(T15:T16)</f>
        <v>54416.666666666664</v>
      </c>
    </row>
    <row r="19" spans="1:19" ht="16.5" customHeight="1" thickBot="1" thickTop="1">
      <c r="A19" s="35"/>
      <c r="B19" s="159" t="s">
        <v>136</v>
      </c>
      <c r="C19" s="160">
        <f>SUM(C16:C18)</f>
        <v>3489.51</v>
      </c>
      <c r="D19" s="161">
        <f>SUM(D16:D18)</f>
        <v>308427.02</v>
      </c>
      <c r="E19" s="168">
        <f>D19/C19</f>
        <v>88.38691392201197</v>
      </c>
      <c r="O19" s="20"/>
      <c r="P19" s="154"/>
      <c r="Q19" s="19" t="s">
        <v>157</v>
      </c>
      <c r="R19" s="192"/>
      <c r="S19" s="99"/>
    </row>
    <row r="20" spans="2:20" ht="16.5" customHeight="1" thickTop="1">
      <c r="B20" s="153" t="s">
        <v>137</v>
      </c>
      <c r="C20" s="19">
        <f>C19-C5</f>
        <v>351.78999999999996</v>
      </c>
      <c r="D20" s="154">
        <f>D19-D5</f>
        <v>37699.76000000001</v>
      </c>
      <c r="E20" s="19">
        <f>E19-E5</f>
        <v>2.105391032780304</v>
      </c>
      <c r="G20" s="169" t="s">
        <v>138</v>
      </c>
      <c r="I20" s="81" t="s">
        <v>139</v>
      </c>
      <c r="J20" s="81" t="s">
        <v>140</v>
      </c>
      <c r="K20" s="81" t="s">
        <v>141</v>
      </c>
      <c r="L20" s="254"/>
      <c r="M20" s="169" t="s">
        <v>138</v>
      </c>
      <c r="O20" s="81" t="s">
        <v>139</v>
      </c>
      <c r="P20" s="81" t="s">
        <v>140</v>
      </c>
      <c r="Q20" s="81" t="s">
        <v>48</v>
      </c>
      <c r="R20" s="183"/>
      <c r="T20" s="183"/>
    </row>
    <row r="21" spans="2:17" ht="12">
      <c r="B21" s="153"/>
      <c r="D21" s="19"/>
      <c r="H21" s="99"/>
      <c r="I21" s="170"/>
      <c r="J21" s="248"/>
      <c r="K21" s="109"/>
      <c r="L21" s="231"/>
      <c r="N21" s="99" t="s">
        <v>150</v>
      </c>
      <c r="O21" s="170"/>
      <c r="P21" s="171"/>
      <c r="Q21" s="109" t="s">
        <v>138</v>
      </c>
    </row>
    <row r="22" spans="8:17" ht="18" customHeight="1">
      <c r="H22" s="99" t="s">
        <v>143</v>
      </c>
      <c r="I22" s="177">
        <v>5000</v>
      </c>
      <c r="J22" s="252">
        <v>85</v>
      </c>
      <c r="K22" s="109">
        <f>I22*J22</f>
        <v>425000</v>
      </c>
      <c r="N22" s="99" t="s">
        <v>149</v>
      </c>
      <c r="O22" s="177">
        <v>250</v>
      </c>
      <c r="P22" s="19">
        <v>-125</v>
      </c>
      <c r="Q22" s="109">
        <f>O22*P22</f>
        <v>-31250</v>
      </c>
    </row>
    <row r="23" spans="8:20" ht="18" customHeight="1">
      <c r="H23" s="99" t="s">
        <v>104</v>
      </c>
      <c r="I23" s="177">
        <v>2000</v>
      </c>
      <c r="J23" s="252">
        <v>125</v>
      </c>
      <c r="K23" s="253">
        <f>I23*J23</f>
        <v>250000</v>
      </c>
      <c r="M23" s="21" t="s">
        <v>125</v>
      </c>
      <c r="N23" s="275" t="s">
        <v>166</v>
      </c>
      <c r="O23" s="177">
        <v>1000</v>
      </c>
      <c r="P23" s="276">
        <v>90</v>
      </c>
      <c r="Q23" s="277">
        <f>O23*P23</f>
        <v>90000</v>
      </c>
      <c r="T23" s="183"/>
    </row>
    <row r="24" spans="7:18" ht="18" customHeight="1">
      <c r="G24" s="109"/>
      <c r="H24" s="99" t="s">
        <v>147</v>
      </c>
      <c r="I24" s="177">
        <v>2000</v>
      </c>
      <c r="J24" s="252">
        <v>84.79</v>
      </c>
      <c r="K24" s="109">
        <f>I24*J24</f>
        <v>169580</v>
      </c>
      <c r="N24" s="275" t="s">
        <v>165</v>
      </c>
      <c r="O24" s="177">
        <v>2500</v>
      </c>
      <c r="P24" s="252">
        <v>-28</v>
      </c>
      <c r="Q24" s="253">
        <f>O24*P24</f>
        <v>-70000</v>
      </c>
      <c r="R24" s="21" t="s">
        <v>203</v>
      </c>
    </row>
    <row r="25" spans="8:17" ht="15.75" customHeight="1">
      <c r="H25" s="99" t="s">
        <v>192</v>
      </c>
      <c r="I25" s="177">
        <v>1500</v>
      </c>
      <c r="J25" s="252">
        <v>84.79</v>
      </c>
      <c r="K25" s="109">
        <f>I25*J25</f>
        <v>127185.00000000001</v>
      </c>
      <c r="O25" s="22"/>
      <c r="P25" s="19"/>
      <c r="Q25" s="109"/>
    </row>
    <row r="26" spans="9:17" ht="18" customHeight="1" thickBot="1">
      <c r="I26" s="249">
        <f>I22+I23+I24+I25</f>
        <v>10500</v>
      </c>
      <c r="J26" s="160">
        <f>SUM(J22:J24)</f>
        <v>294.79</v>
      </c>
      <c r="K26" s="172">
        <f>SUM(K21:K25)</f>
        <v>971765</v>
      </c>
      <c r="O26" s="80">
        <f>SUM(O21:O25)</f>
        <v>3750</v>
      </c>
      <c r="P26" s="160">
        <f>SUM(P21:P25)</f>
        <v>-63</v>
      </c>
      <c r="Q26" s="172">
        <f>SUM(Q21:Q25)</f>
        <v>-11250</v>
      </c>
    </row>
    <row r="27" spans="8:17" ht="18.75" customHeight="1" thickTop="1">
      <c r="H27" s="99" t="s">
        <v>163</v>
      </c>
      <c r="I27" s="38">
        <f>SUM(I21:I25)</f>
        <v>10500</v>
      </c>
      <c r="J27" s="81" t="s">
        <v>144</v>
      </c>
      <c r="K27" s="255">
        <f>K26/I26</f>
        <v>92.54904761904761</v>
      </c>
      <c r="O27" s="20"/>
      <c r="P27" s="81"/>
      <c r="Q27" s="173"/>
    </row>
    <row r="28" spans="8:17" ht="12">
      <c r="H28" s="99" t="s">
        <v>56</v>
      </c>
      <c r="K28" s="256">
        <f>J18</f>
        <v>48.77285714285714</v>
      </c>
      <c r="N28" s="99" t="s">
        <v>175</v>
      </c>
      <c r="O28" s="177">
        <v>1000</v>
      </c>
      <c r="P28" s="252">
        <v>25</v>
      </c>
      <c r="Q28" s="253">
        <f>O28*P28</f>
        <v>25000</v>
      </c>
    </row>
    <row r="29" spans="9:17" ht="12" customHeight="1">
      <c r="I29" s="239"/>
      <c r="J29" s="154" t="s">
        <v>209</v>
      </c>
      <c r="K29" s="239">
        <f>K27+K28</f>
        <v>141.32190476190476</v>
      </c>
      <c r="N29" s="99" t="s">
        <v>142</v>
      </c>
      <c r="O29" s="170">
        <v>80</v>
      </c>
      <c r="P29" s="248">
        <v>315</v>
      </c>
      <c r="Q29" s="109">
        <f>O29*P29</f>
        <v>25200</v>
      </c>
    </row>
    <row r="30" spans="8:13" ht="18" customHeight="1">
      <c r="H30" s="99"/>
      <c r="I30" s="177"/>
      <c r="J30" s="257"/>
      <c r="K30" s="253"/>
      <c r="M30" s="109"/>
    </row>
    <row r="31" spans="8:24" ht="16.5" customHeight="1">
      <c r="H31" s="99"/>
      <c r="I31" s="170"/>
      <c r="J31" s="248"/>
      <c r="K31" s="109"/>
      <c r="L31" s="231"/>
      <c r="M31" s="109"/>
      <c r="R31" s="35"/>
      <c r="X31" s="99"/>
    </row>
    <row r="32" spans="16:24" ht="12">
      <c r="P32" s="35"/>
      <c r="X32" s="99"/>
    </row>
    <row r="33" spans="15:24" ht="12">
      <c r="O33" s="99"/>
      <c r="P33" s="183"/>
      <c r="Q33" s="183"/>
      <c r="V33" s="183"/>
      <c r="X33" s="212"/>
    </row>
    <row r="34" spans="15:24" ht="12">
      <c r="O34" s="99"/>
      <c r="P34" s="183"/>
      <c r="Q34" s="183"/>
      <c r="V34" s="183"/>
      <c r="X34" s="212"/>
    </row>
    <row r="35" spans="16:17" ht="12">
      <c r="P35" s="183"/>
      <c r="Q35" s="183"/>
    </row>
    <row r="36" spans="16:17" ht="18.75" customHeight="1">
      <c r="P36" s="183"/>
      <c r="Q36" s="183"/>
    </row>
    <row r="37" ht="12">
      <c r="I37" s="20">
        <f>I24*168</f>
        <v>336000</v>
      </c>
    </row>
    <row r="38" ht="12">
      <c r="I38" s="20">
        <f>I25*185</f>
        <v>277500</v>
      </c>
    </row>
    <row r="39" spans="9:10" ht="12">
      <c r="I39" s="20">
        <f>I37+I38</f>
        <v>613500</v>
      </c>
      <c r="J39" s="154">
        <f>I39/3500</f>
        <v>175.28571428571428</v>
      </c>
    </row>
    <row r="40" ht="18.75" customHeight="1"/>
  </sheetData>
  <sheetProtection/>
  <printOptions gridLines="1"/>
  <pageMargins left="0.75" right="0.75" top="1" bottom="1" header="0.5" footer="0.5"/>
  <pageSetup fitToHeight="1" fitToWidth="1" horizontalDpi="600" verticalDpi="600" orientation="landscape" scale="67" r:id="rId1"/>
  <headerFooter alignWithMargins="0">
    <oddFooter>&amp;C&amp;A&amp;R&amp;P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5:S30"/>
  <sheetViews>
    <sheetView zoomScalePageLayoutView="0" workbookViewId="0" topLeftCell="B1">
      <selection activeCell="E9" sqref="E9"/>
    </sheetView>
  </sheetViews>
  <sheetFormatPr defaultColWidth="9.140625" defaultRowHeight="12.75"/>
  <cols>
    <col min="3" max="3" width="13.7109375" style="0" customWidth="1"/>
    <col min="4" max="4" width="8.28125" style="0" customWidth="1"/>
    <col min="5" max="5" width="16.00390625" style="52" customWidth="1"/>
    <col min="6" max="6" width="6.57421875" style="0" customWidth="1"/>
    <col min="7" max="7" width="14.8515625" style="0" customWidth="1"/>
    <col min="9" max="9" width="15.00390625" style="0" customWidth="1"/>
    <col min="11" max="11" width="14.421875" style="0" customWidth="1"/>
    <col min="12" max="12" width="9.7109375" style="0" customWidth="1"/>
    <col min="13" max="13" width="11.7109375" style="0" customWidth="1"/>
    <col min="14" max="14" width="14.00390625" style="0" customWidth="1"/>
    <col min="16" max="16" width="11.7109375" style="0" customWidth="1"/>
    <col min="18" max="18" width="12.7109375" style="0" customWidth="1"/>
  </cols>
  <sheetData>
    <row r="5" spans="3:18" ht="12.75">
      <c r="C5" s="135"/>
      <c r="D5" s="135" t="s">
        <v>197</v>
      </c>
      <c r="E5" s="138"/>
      <c r="G5" s="110"/>
      <c r="H5" s="111" t="s">
        <v>119</v>
      </c>
      <c r="I5" s="111"/>
      <c r="J5" s="111"/>
      <c r="K5" s="112"/>
      <c r="L5" s="113"/>
      <c r="N5" s="113"/>
      <c r="O5" s="113"/>
      <c r="P5" s="113"/>
      <c r="Q5" s="113"/>
      <c r="R5" s="113"/>
    </row>
    <row r="6" spans="3:18" ht="17.25" customHeight="1">
      <c r="C6" s="139" t="s">
        <v>67</v>
      </c>
      <c r="D6" s="140"/>
      <c r="E6" s="141"/>
      <c r="G6" s="132" t="s">
        <v>197</v>
      </c>
      <c r="H6" s="113"/>
      <c r="I6" s="226" t="s">
        <v>188</v>
      </c>
      <c r="J6" s="113"/>
      <c r="K6" s="115" t="s">
        <v>120</v>
      </c>
      <c r="L6" s="114"/>
      <c r="N6" s="114"/>
      <c r="O6" s="113"/>
      <c r="P6" s="114"/>
      <c r="Q6" s="113"/>
      <c r="R6" s="114"/>
    </row>
    <row r="7" spans="3:18" ht="18" customHeight="1">
      <c r="C7" s="99" t="s">
        <v>52</v>
      </c>
      <c r="D7" s="142">
        <v>0.03</v>
      </c>
      <c r="E7" s="138">
        <f>SUM(D7*'1-Summary Budget'!N10)</f>
        <v>24515.9445359</v>
      </c>
      <c r="G7" s="133">
        <f>E7</f>
        <v>24515.9445359</v>
      </c>
      <c r="H7" s="113"/>
      <c r="I7" s="116">
        <v>24049.93</v>
      </c>
      <c r="J7" s="113"/>
      <c r="K7" s="175">
        <f>SUM(G7-I7)</f>
        <v>466.014535899998</v>
      </c>
      <c r="L7" s="72">
        <f>SUM(K7/G7)</f>
        <v>0.019008630698180453</v>
      </c>
      <c r="N7" s="122"/>
      <c r="O7" s="113"/>
      <c r="P7" s="118"/>
      <c r="Q7" s="113"/>
      <c r="R7" s="123"/>
    </row>
    <row r="8" spans="3:18" ht="12.75">
      <c r="C8" s="99" t="s">
        <v>53</v>
      </c>
      <c r="D8" s="142">
        <v>0.12</v>
      </c>
      <c r="E8" s="138">
        <f>SUM(D8*'1-Summary Budget'!N10)</f>
        <v>98063.7781436</v>
      </c>
      <c r="G8" s="133">
        <f>E8</f>
        <v>98063.7781436</v>
      </c>
      <c r="H8" s="113"/>
      <c r="I8" s="116">
        <v>96199.74</v>
      </c>
      <c r="J8" s="113"/>
      <c r="K8" s="175">
        <f>SUM(G8-I8)</f>
        <v>1864.038143599988</v>
      </c>
      <c r="L8" s="72">
        <f>SUM(K8/G8)</f>
        <v>0.01900842674927717</v>
      </c>
      <c r="N8" s="122"/>
      <c r="O8" s="113"/>
      <c r="P8" s="118"/>
      <c r="Q8" s="113"/>
      <c r="R8" s="123"/>
    </row>
    <row r="9" spans="3:18" ht="12.75">
      <c r="C9" s="99" t="s">
        <v>54</v>
      </c>
      <c r="D9" s="142">
        <v>0.695</v>
      </c>
      <c r="E9" s="138">
        <f>SUM(D9*'1-Summary Budget'!N10)</f>
        <v>567952.7150816832</v>
      </c>
      <c r="G9" s="133">
        <f>E9</f>
        <v>567952.7150816832</v>
      </c>
      <c r="H9" s="113"/>
      <c r="I9" s="116">
        <v>557156.82</v>
      </c>
      <c r="J9" s="113"/>
      <c r="K9" s="175">
        <f>SUM(G9-I9)</f>
        <v>10795.895081683295</v>
      </c>
      <c r="L9" s="72">
        <f>SUM(K9/G9)</f>
        <v>0.019008439954601896</v>
      </c>
      <c r="N9" s="130"/>
      <c r="O9" s="130"/>
      <c r="P9" s="113"/>
      <c r="Q9" s="113"/>
      <c r="R9" s="113"/>
    </row>
    <row r="10" spans="3:18" ht="12.75">
      <c r="C10" s="99" t="s">
        <v>55</v>
      </c>
      <c r="D10" s="142">
        <v>0.155</v>
      </c>
      <c r="E10" s="138">
        <f>SUM(D10*'1-Summary Budget'!N10)</f>
        <v>126665.71343548333</v>
      </c>
      <c r="G10" s="133">
        <f>E10</f>
        <v>126665.71343548333</v>
      </c>
      <c r="H10" s="113"/>
      <c r="I10" s="116">
        <v>124258</v>
      </c>
      <c r="J10" s="113"/>
      <c r="K10" s="175">
        <f>SUM(G10-I10)</f>
        <v>2407.713435483325</v>
      </c>
      <c r="L10" s="72">
        <f>SUM(K10/G10)</f>
        <v>0.01900840701228659</v>
      </c>
      <c r="N10" s="114"/>
      <c r="O10" s="113"/>
      <c r="P10" s="114"/>
      <c r="Q10" s="113"/>
      <c r="R10" s="114"/>
    </row>
    <row r="11" spans="3:19" ht="21" customHeight="1" thickBot="1">
      <c r="C11" s="135"/>
      <c r="D11" s="135"/>
      <c r="E11" s="143">
        <f>SUM(E7:E10)</f>
        <v>817198.1511966665</v>
      </c>
      <c r="G11" s="134">
        <f>SUM(G7:G10)</f>
        <v>817198.1511966665</v>
      </c>
      <c r="H11" s="53"/>
      <c r="I11" s="117">
        <f>SUM(I7:I10)</f>
        <v>801664.49</v>
      </c>
      <c r="J11" s="53"/>
      <c r="K11" s="189">
        <f>SUM(K7:K10)</f>
        <v>15533.661196666606</v>
      </c>
      <c r="L11" s="72">
        <f>SUM(K11/G11)</f>
        <v>0.019008438986211414</v>
      </c>
      <c r="M11" s="131"/>
      <c r="N11" s="220"/>
      <c r="O11" s="113"/>
      <c r="P11" s="125"/>
      <c r="Q11" s="113"/>
      <c r="R11" s="221"/>
      <c r="S11" s="72"/>
    </row>
    <row r="12" spans="3:19" ht="13.5" thickTop="1">
      <c r="C12" s="135"/>
      <c r="D12" s="135"/>
      <c r="E12" s="138"/>
      <c r="G12" s="135"/>
      <c r="M12" s="131"/>
      <c r="N12" s="220"/>
      <c r="O12" s="113"/>
      <c r="P12" s="125"/>
      <c r="Q12" s="113"/>
      <c r="R12" s="222"/>
      <c r="S12" s="72"/>
    </row>
    <row r="13" spans="3:19" ht="12.75">
      <c r="C13" s="135"/>
      <c r="D13" s="135"/>
      <c r="E13" s="138"/>
      <c r="G13" s="136" t="s">
        <v>167</v>
      </c>
      <c r="H13" s="111"/>
      <c r="I13" s="111"/>
      <c r="J13" s="111"/>
      <c r="K13" s="112"/>
      <c r="L13" s="113"/>
      <c r="M13" s="131"/>
      <c r="N13" s="220"/>
      <c r="O13" s="113"/>
      <c r="P13" s="125"/>
      <c r="Q13" s="113"/>
      <c r="R13" s="222"/>
      <c r="S13" s="72"/>
    </row>
    <row r="14" spans="3:19" ht="20.25" customHeight="1">
      <c r="C14" s="144" t="s">
        <v>68</v>
      </c>
      <c r="D14" s="140"/>
      <c r="E14" s="141"/>
      <c r="G14" s="132" t="s">
        <v>204</v>
      </c>
      <c r="H14" s="114"/>
      <c r="I14" s="226" t="s">
        <v>188</v>
      </c>
      <c r="J14" s="114"/>
      <c r="K14" s="115" t="s">
        <v>118</v>
      </c>
      <c r="L14" s="114"/>
      <c r="M14" s="131"/>
      <c r="N14" s="220"/>
      <c r="O14" s="113"/>
      <c r="P14" s="125"/>
      <c r="Q14" s="113"/>
      <c r="R14" s="222"/>
      <c r="S14" s="72"/>
    </row>
    <row r="15" spans="3:19" ht="17.25" customHeight="1">
      <c r="C15" s="99" t="s">
        <v>52</v>
      </c>
      <c r="D15" s="135"/>
      <c r="E15" s="138">
        <f>'[1]1-Summary Budget'!J13</f>
        <v>0</v>
      </c>
      <c r="G15" s="133"/>
      <c r="H15" s="113"/>
      <c r="I15" s="119"/>
      <c r="J15" s="113"/>
      <c r="K15" s="175"/>
      <c r="L15" s="72"/>
      <c r="N15" s="220"/>
      <c r="O15" s="113"/>
      <c r="P15" s="124"/>
      <c r="Q15" s="113"/>
      <c r="R15" s="223"/>
      <c r="S15" s="72"/>
    </row>
    <row r="16" spans="3:18" ht="12.75">
      <c r="C16" s="99" t="s">
        <v>53</v>
      </c>
      <c r="D16" s="135"/>
      <c r="E16" s="138">
        <f>SUM('1-Summary Budget'!K12)</f>
        <v>37166.887106716</v>
      </c>
      <c r="G16" s="133">
        <f>SUM('1-Summary Budget'!K12+'1-Summary Budget'!I42)</f>
        <v>37166.887106716</v>
      </c>
      <c r="H16" s="113"/>
      <c r="I16" s="119">
        <v>36571.52</v>
      </c>
      <c r="J16" s="113"/>
      <c r="K16" s="175">
        <f>SUM(G16-I16)</f>
        <v>595.367106716003</v>
      </c>
      <c r="L16" s="72">
        <f>SUM(K16/G16)</f>
        <v>0.01601875091143754</v>
      </c>
      <c r="N16" s="122"/>
      <c r="O16" s="113"/>
      <c r="P16" s="118"/>
      <c r="Q16" s="113"/>
      <c r="R16" s="123"/>
    </row>
    <row r="17" spans="3:18" ht="12.75">
      <c r="C17" s="99" t="s">
        <v>54</v>
      </c>
      <c r="D17" s="135"/>
      <c r="E17" s="138">
        <f>SUM('1-Summary Budget'!L12)</f>
        <v>80497.681562</v>
      </c>
      <c r="G17" s="133">
        <f>SUM('1-Summary Budget'!L12+'1-Summary Budget'!J42)</f>
        <v>80497.681562</v>
      </c>
      <c r="H17" s="113"/>
      <c r="I17" s="119">
        <v>79045.58</v>
      </c>
      <c r="J17" s="113"/>
      <c r="K17" s="175">
        <f>SUM(G17-I17)</f>
        <v>1452.1015619999962</v>
      </c>
      <c r="L17" s="72">
        <f>SUM(K17/G17)</f>
        <v>0.018039048253601878</v>
      </c>
      <c r="N17" s="122"/>
      <c r="O17" s="113"/>
      <c r="P17" s="118"/>
      <c r="Q17" s="113"/>
      <c r="R17" s="123"/>
    </row>
    <row r="18" spans="3:18" ht="12.75">
      <c r="C18" s="99" t="s">
        <v>55</v>
      </c>
      <c r="D18" s="135"/>
      <c r="E18" s="138"/>
      <c r="G18" s="133"/>
      <c r="H18" s="113"/>
      <c r="I18" s="119"/>
      <c r="J18" s="113"/>
      <c r="K18" s="175"/>
      <c r="L18" s="72"/>
      <c r="N18" s="122"/>
      <c r="O18" s="113"/>
      <c r="P18" s="205"/>
      <c r="Q18" s="113"/>
      <c r="R18" s="123"/>
    </row>
    <row r="19" spans="3:18" ht="18.75" customHeight="1" thickBot="1">
      <c r="C19" s="135"/>
      <c r="D19" s="135"/>
      <c r="E19" s="143">
        <f>SUM(E15:E18)</f>
        <v>117664.568668716</v>
      </c>
      <c r="G19" s="137">
        <f>SUM(G15:G18)</f>
        <v>117664.568668716</v>
      </c>
      <c r="H19" s="53"/>
      <c r="I19" s="121">
        <f>SUM(I15:I18)</f>
        <v>115617.1</v>
      </c>
      <c r="J19" s="53"/>
      <c r="K19" s="202">
        <f>SUM(K15:K18)</f>
        <v>2047.4686687159992</v>
      </c>
      <c r="L19" s="72">
        <f>SUM(K19/G19)</f>
        <v>0.01740089384494866</v>
      </c>
      <c r="N19" s="122"/>
      <c r="O19" s="113"/>
      <c r="P19" s="206"/>
      <c r="Q19" s="113"/>
      <c r="R19" s="120"/>
    </row>
    <row r="20" spans="3:16" ht="13.5" thickTop="1">
      <c r="C20" s="135"/>
      <c r="D20" s="135"/>
      <c r="E20" s="138"/>
      <c r="P20" s="72"/>
    </row>
    <row r="21" spans="7:18" ht="12.75">
      <c r="G21" s="113"/>
      <c r="H21" s="113"/>
      <c r="I21" s="113"/>
      <c r="J21" s="113"/>
      <c r="K21" s="113"/>
      <c r="L21" s="113"/>
      <c r="N21" s="113"/>
      <c r="O21" s="113"/>
      <c r="P21" s="113"/>
      <c r="Q21" s="113"/>
      <c r="R21" s="113"/>
    </row>
    <row r="22" spans="5:18" ht="12.75">
      <c r="E22" s="21"/>
      <c r="G22" s="114"/>
      <c r="H22" s="114"/>
      <c r="I22" s="114"/>
      <c r="J22" s="114"/>
      <c r="K22" s="114"/>
      <c r="L22" s="114"/>
      <c r="N22" s="114"/>
      <c r="O22" s="113"/>
      <c r="P22" s="114"/>
      <c r="Q22" s="113"/>
      <c r="R22" s="114"/>
    </row>
    <row r="23" spans="4:18" ht="12.75">
      <c r="D23" s="130"/>
      <c r="E23" s="130"/>
      <c r="F23" s="113"/>
      <c r="G23" s="113"/>
      <c r="H23" s="113"/>
      <c r="I23" s="118"/>
      <c r="J23" s="113"/>
      <c r="K23" s="123"/>
      <c r="L23" s="123"/>
      <c r="N23" s="122"/>
      <c r="O23" s="113"/>
      <c r="P23" s="118"/>
      <c r="Q23" s="113"/>
      <c r="R23" s="123"/>
    </row>
    <row r="24" spans="4:18" ht="12.75">
      <c r="D24" s="122"/>
      <c r="E24" s="113"/>
      <c r="F24" s="114"/>
      <c r="G24" s="113"/>
      <c r="H24" s="114"/>
      <c r="I24" s="118"/>
      <c r="J24" s="113"/>
      <c r="K24" s="123"/>
      <c r="L24" s="123"/>
      <c r="N24" s="122"/>
      <c r="O24" s="113"/>
      <c r="P24" s="118"/>
      <c r="Q24" s="113"/>
      <c r="R24" s="123"/>
    </row>
    <row r="25" spans="3:18" ht="12.75">
      <c r="C25" s="127"/>
      <c r="D25" s="122"/>
      <c r="E25" s="113"/>
      <c r="F25" s="125"/>
      <c r="G25" s="113"/>
      <c r="H25" s="123"/>
      <c r="I25" s="118"/>
      <c r="J25" s="113"/>
      <c r="K25" s="123"/>
      <c r="L25" s="123"/>
      <c r="N25" s="122"/>
      <c r="O25" s="113"/>
      <c r="P25" s="118"/>
      <c r="Q25" s="113"/>
      <c r="R25" s="123"/>
    </row>
    <row r="26" spans="3:18" ht="12.75">
      <c r="C26" s="127"/>
      <c r="D26" s="122"/>
      <c r="E26" s="113"/>
      <c r="F26" s="125"/>
      <c r="G26" s="113"/>
      <c r="H26" s="123"/>
      <c r="I26" s="118"/>
      <c r="J26" s="113"/>
      <c r="K26" s="123"/>
      <c r="L26" s="123"/>
      <c r="N26" s="122"/>
      <c r="O26" s="113"/>
      <c r="P26" s="118"/>
      <c r="Q26" s="113"/>
      <c r="R26" s="123"/>
    </row>
    <row r="27" spans="3:18" ht="18.75" customHeight="1">
      <c r="C27" s="127"/>
      <c r="D27" s="122"/>
      <c r="E27" s="113"/>
      <c r="F27" s="125"/>
      <c r="G27" s="113"/>
      <c r="H27" s="123"/>
      <c r="I27" s="124"/>
      <c r="J27" s="113"/>
      <c r="K27" s="120"/>
      <c r="L27" s="120"/>
      <c r="N27" s="122"/>
      <c r="O27" s="113"/>
      <c r="P27" s="124"/>
      <c r="Q27" s="113"/>
      <c r="R27" s="120"/>
    </row>
    <row r="28" spans="3:8" ht="12.75">
      <c r="C28" s="127"/>
      <c r="D28" s="122"/>
      <c r="E28" s="113"/>
      <c r="F28" s="125"/>
      <c r="G28" s="113"/>
      <c r="H28" s="123"/>
    </row>
    <row r="29" spans="4:8" ht="12.75">
      <c r="D29" s="122"/>
      <c r="E29" s="113"/>
      <c r="F29" s="124"/>
      <c r="G29" s="113"/>
      <c r="H29" s="120"/>
    </row>
    <row r="30" ht="12.75">
      <c r="G30" s="16"/>
    </row>
  </sheetData>
  <sheetProtection/>
  <printOptions/>
  <pageMargins left="0.75" right="0.75" top="1" bottom="1" header="0.5" footer="0.5"/>
  <pageSetup fitToHeight="1" fitToWidth="1" horizontalDpi="600" verticalDpi="600" orientation="landscape" scale="58" r:id="rId1"/>
  <headerFooter alignWithMargins="0">
    <oddFooter>&amp;C&amp;A&amp;R&amp;P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R40"/>
  <sheetViews>
    <sheetView zoomScale="90" zoomScaleNormal="90" zoomScalePageLayoutView="0" workbookViewId="0" topLeftCell="A1">
      <selection activeCell="E36" sqref="E36"/>
    </sheetView>
  </sheetViews>
  <sheetFormatPr defaultColWidth="9.28125" defaultRowHeight="12.75"/>
  <cols>
    <col min="1" max="1" width="15.7109375" style="4" customWidth="1"/>
    <col min="2" max="2" width="5.28125" style="5" customWidth="1"/>
    <col min="3" max="3" width="4.421875" style="5" customWidth="1"/>
    <col min="4" max="4" width="5.28125" style="5" customWidth="1"/>
    <col min="5" max="5" width="4.28125" style="5" customWidth="1"/>
    <col min="6" max="6" width="9.7109375" style="92" customWidth="1"/>
    <col min="7" max="7" width="12.421875" style="4" customWidth="1"/>
    <col min="8" max="9" width="7.7109375" style="4" customWidth="1"/>
    <col min="10" max="10" width="12.57421875" style="4" customWidth="1"/>
    <col min="11" max="11" width="3.421875" style="5" customWidth="1"/>
    <col min="12" max="12" width="7.7109375" style="4" customWidth="1"/>
    <col min="13" max="15" width="8.57421875" style="4" customWidth="1"/>
    <col min="16" max="16" width="10.140625" style="209" customWidth="1"/>
    <col min="17" max="17" width="8.28125" style="10" customWidth="1"/>
    <col min="18" max="18" width="10.57421875" style="4" customWidth="1"/>
    <col min="19" max="19" width="7.7109375" style="4" customWidth="1"/>
    <col min="20" max="20" width="6.7109375" style="4" customWidth="1"/>
    <col min="21" max="21" width="9.00390625" style="4" customWidth="1"/>
    <col min="22" max="22" width="10.28125" style="4" customWidth="1"/>
    <col min="23" max="23" width="6.7109375" style="4" customWidth="1"/>
    <col min="24" max="24" width="12.00390625" style="4" customWidth="1"/>
    <col min="25" max="25" width="8.00390625" style="4" customWidth="1"/>
    <col min="26" max="26" width="9.140625" style="4" customWidth="1"/>
    <col min="27" max="27" width="9.421875" style="4" customWidth="1"/>
    <col min="28" max="28" width="7.7109375" style="4" customWidth="1"/>
    <col min="29" max="29" width="8.57421875" style="4" customWidth="1"/>
    <col min="30" max="30" width="7.7109375" style="4" customWidth="1"/>
    <col min="31" max="40" width="6.7109375" style="4" customWidth="1"/>
    <col min="41" max="41" width="7.7109375" style="4" customWidth="1"/>
    <col min="42" max="43" width="6.7109375" style="4" customWidth="1"/>
    <col min="44" max="44" width="7.7109375" style="4" customWidth="1"/>
    <col min="45" max="45" width="10.00390625" style="4" customWidth="1"/>
    <col min="46" max="46" width="6.7109375" style="4" customWidth="1"/>
    <col min="47" max="47" width="7.7109375" style="4" customWidth="1"/>
    <col min="48" max="50" width="6.7109375" style="4" customWidth="1"/>
    <col min="51" max="51" width="7.421875" style="4" customWidth="1"/>
    <col min="52" max="52" width="6.7109375" style="4" customWidth="1"/>
    <col min="53" max="53" width="9.00390625" style="4" customWidth="1"/>
    <col min="54" max="56" width="6.7109375" style="4" customWidth="1"/>
    <col min="57" max="58" width="8.28125" style="4" customWidth="1"/>
    <col min="59" max="16384" width="9.28125" style="4" customWidth="1"/>
  </cols>
  <sheetData>
    <row r="2" spans="11:12" ht="9">
      <c r="K2" s="5" t="s">
        <v>64</v>
      </c>
      <c r="L2" s="4">
        <v>0.0185</v>
      </c>
    </row>
    <row r="3" spans="1:61" s="7" customFormat="1" ht="9">
      <c r="A3" s="4"/>
      <c r="B3" s="5"/>
      <c r="C3" s="5"/>
      <c r="D3" s="5"/>
      <c r="E3" s="5"/>
      <c r="F3" s="92"/>
      <c r="G3" s="4"/>
      <c r="H3" s="4"/>
      <c r="I3" s="4"/>
      <c r="J3" s="4"/>
      <c r="K3" s="5" t="s">
        <v>65</v>
      </c>
      <c r="L3" s="4">
        <v>0.21</v>
      </c>
      <c r="M3" s="4"/>
      <c r="N3" s="4"/>
      <c r="O3" s="4"/>
      <c r="P3" s="209"/>
      <c r="Q3" s="8"/>
      <c r="R3" s="5">
        <v>100</v>
      </c>
      <c r="S3" s="5"/>
      <c r="T3" s="5"/>
      <c r="U3" s="5"/>
      <c r="V3" s="5"/>
      <c r="W3" s="5"/>
      <c r="X3" s="5">
        <v>200</v>
      </c>
      <c r="Y3" s="5"/>
      <c r="Z3" s="5"/>
      <c r="AA3" s="5"/>
      <c r="AB3" s="5"/>
      <c r="AC3" s="5"/>
      <c r="AD3" s="5">
        <v>300</v>
      </c>
      <c r="AE3" s="5"/>
      <c r="AF3" s="5"/>
      <c r="AG3" s="5"/>
      <c r="AH3" s="5"/>
      <c r="AI3" s="5"/>
      <c r="AJ3" s="6">
        <v>710</v>
      </c>
      <c r="AK3" s="6"/>
      <c r="AL3" s="6"/>
      <c r="AM3" s="6"/>
      <c r="AN3" s="6"/>
      <c r="AO3" s="6">
        <v>720</v>
      </c>
      <c r="AP3" s="6"/>
      <c r="AQ3" s="6"/>
      <c r="AR3" s="6"/>
      <c r="AS3" s="6"/>
      <c r="AT3" s="6"/>
      <c r="AU3" s="6">
        <v>730</v>
      </c>
      <c r="AV3" s="6"/>
      <c r="AW3" s="6"/>
      <c r="AX3" s="6"/>
      <c r="AY3" s="6"/>
      <c r="AZ3" s="6"/>
      <c r="BA3" s="6">
        <v>740</v>
      </c>
      <c r="BB3" s="6"/>
      <c r="BC3" s="6"/>
      <c r="BG3" s="6">
        <v>750</v>
      </c>
      <c r="BH3" s="6"/>
      <c r="BI3" s="6"/>
    </row>
    <row r="4" spans="1:64" s="1" customFormat="1" ht="28.5" customHeight="1">
      <c r="A4" s="273" t="s">
        <v>255</v>
      </c>
      <c r="B4" s="2" t="s">
        <v>5</v>
      </c>
      <c r="C4" s="2"/>
      <c r="D4" s="2" t="s">
        <v>5</v>
      </c>
      <c r="E4" s="2"/>
      <c r="F4" s="93"/>
      <c r="G4" s="2" t="s">
        <v>1</v>
      </c>
      <c r="H4" s="2" t="s">
        <v>18</v>
      </c>
      <c r="I4" s="2" t="s">
        <v>38</v>
      </c>
      <c r="J4" s="2" t="s">
        <v>19</v>
      </c>
      <c r="K4" s="2"/>
      <c r="L4" s="2">
        <v>0.18</v>
      </c>
      <c r="M4" s="2" t="s">
        <v>12</v>
      </c>
      <c r="N4" s="186" t="s">
        <v>16</v>
      </c>
      <c r="O4" s="186" t="s">
        <v>15</v>
      </c>
      <c r="P4" s="186" t="s">
        <v>17</v>
      </c>
      <c r="Q4" s="9" t="s">
        <v>14</v>
      </c>
      <c r="R4" s="2" t="s">
        <v>3</v>
      </c>
      <c r="S4" s="2"/>
      <c r="T4" s="2"/>
      <c r="U4" s="2"/>
      <c r="V4" s="2"/>
      <c r="W4" s="2"/>
      <c r="X4" s="2" t="s">
        <v>4</v>
      </c>
      <c r="Y4" s="2"/>
      <c r="Z4" s="2"/>
      <c r="AA4" s="2"/>
      <c r="AB4" s="2"/>
      <c r="AC4" s="2"/>
      <c r="AD4" s="2" t="s">
        <v>114</v>
      </c>
      <c r="AE4" s="2"/>
      <c r="AF4" s="2"/>
      <c r="AG4" s="2"/>
      <c r="AH4" s="2"/>
      <c r="AI4" s="2"/>
      <c r="AJ4" s="2" t="s">
        <v>6</v>
      </c>
      <c r="AK4" s="2"/>
      <c r="AL4" s="2"/>
      <c r="AM4" s="2"/>
      <c r="AN4" s="2"/>
      <c r="AO4" s="2" t="s">
        <v>7</v>
      </c>
      <c r="AP4" s="2"/>
      <c r="AQ4" s="2"/>
      <c r="AR4" s="2"/>
      <c r="AS4" s="2"/>
      <c r="AT4" s="2"/>
      <c r="AU4" s="2" t="s">
        <v>8</v>
      </c>
      <c r="AV4" s="2"/>
      <c r="AW4" s="2"/>
      <c r="AX4" s="2"/>
      <c r="AY4" s="2"/>
      <c r="AZ4" s="2"/>
      <c r="BA4" s="2" t="s">
        <v>9</v>
      </c>
      <c r="BB4" s="2"/>
      <c r="BC4" s="2"/>
      <c r="BD4" s="2"/>
      <c r="BE4" s="2"/>
      <c r="BF4" s="2"/>
      <c r="BG4" s="2" t="s">
        <v>44</v>
      </c>
      <c r="BH4" s="2"/>
      <c r="BI4" s="2"/>
      <c r="BJ4" s="2"/>
      <c r="BK4" s="2"/>
      <c r="BL4" s="2"/>
    </row>
    <row r="5" spans="6:64" s="1" customFormat="1" ht="18.75" customHeight="1">
      <c r="F5" s="94"/>
      <c r="M5" s="250">
        <v>0.136</v>
      </c>
      <c r="N5" s="181"/>
      <c r="P5" s="181"/>
      <c r="Q5" s="251">
        <v>0.7</v>
      </c>
      <c r="R5" s="2" t="s">
        <v>1</v>
      </c>
      <c r="S5" s="2" t="s">
        <v>38</v>
      </c>
      <c r="T5" s="2" t="s">
        <v>2</v>
      </c>
      <c r="U5" s="2" t="s">
        <v>12</v>
      </c>
      <c r="V5" s="2" t="s">
        <v>11</v>
      </c>
      <c r="W5" s="2" t="s">
        <v>13</v>
      </c>
      <c r="X5" s="2" t="s">
        <v>1</v>
      </c>
      <c r="Y5" s="2" t="s">
        <v>38</v>
      </c>
      <c r="Z5" s="2" t="s">
        <v>2</v>
      </c>
      <c r="AA5" s="2" t="s">
        <v>12</v>
      </c>
      <c r="AB5" s="2" t="s">
        <v>11</v>
      </c>
      <c r="AC5" s="2" t="s">
        <v>13</v>
      </c>
      <c r="AD5" s="2" t="s">
        <v>1</v>
      </c>
      <c r="AE5" s="2"/>
      <c r="AF5" s="2" t="s">
        <v>2</v>
      </c>
      <c r="AG5" s="2" t="s">
        <v>12</v>
      </c>
      <c r="AH5" s="2" t="s">
        <v>11</v>
      </c>
      <c r="AI5" s="2" t="s">
        <v>13</v>
      </c>
      <c r="AJ5" s="2" t="s">
        <v>1</v>
      </c>
      <c r="AK5" s="2" t="s">
        <v>2</v>
      </c>
      <c r="AL5" s="2" t="s">
        <v>12</v>
      </c>
      <c r="AM5" s="2" t="s">
        <v>11</v>
      </c>
      <c r="AN5" s="2" t="s">
        <v>13</v>
      </c>
      <c r="AO5" s="2" t="s">
        <v>1</v>
      </c>
      <c r="AP5" s="2"/>
      <c r="AQ5" s="2" t="s">
        <v>2</v>
      </c>
      <c r="AR5" s="2" t="s">
        <v>12</v>
      </c>
      <c r="AS5" s="2" t="s">
        <v>11</v>
      </c>
      <c r="AT5" s="2" t="s">
        <v>13</v>
      </c>
      <c r="AU5" s="2" t="s">
        <v>1</v>
      </c>
      <c r="AV5" s="2"/>
      <c r="AW5" s="2" t="s">
        <v>2</v>
      </c>
      <c r="AX5" s="2" t="s">
        <v>12</v>
      </c>
      <c r="AY5" s="2" t="s">
        <v>11</v>
      </c>
      <c r="AZ5" s="2" t="s">
        <v>13</v>
      </c>
      <c r="BA5" s="2" t="s">
        <v>1</v>
      </c>
      <c r="BB5" s="2"/>
      <c r="BC5" s="2" t="s">
        <v>2</v>
      </c>
      <c r="BD5" s="2" t="s">
        <v>12</v>
      </c>
      <c r="BE5" s="2" t="s">
        <v>11</v>
      </c>
      <c r="BF5" s="2" t="s">
        <v>13</v>
      </c>
      <c r="BG5" s="2" t="s">
        <v>1</v>
      </c>
      <c r="BH5" s="2" t="s">
        <v>18</v>
      </c>
      <c r="BI5" s="2" t="s">
        <v>2</v>
      </c>
      <c r="BJ5" s="2" t="s">
        <v>12</v>
      </c>
      <c r="BK5" s="2" t="s">
        <v>11</v>
      </c>
      <c r="BL5" s="2" t="s">
        <v>13</v>
      </c>
    </row>
    <row r="6" spans="1:17" s="1" customFormat="1" ht="18.75" customHeight="1">
      <c r="A6" s="1" t="s">
        <v>251</v>
      </c>
      <c r="F6" s="94"/>
      <c r="M6" s="181">
        <v>0.187</v>
      </c>
      <c r="P6" s="181"/>
      <c r="Q6" s="187"/>
    </row>
    <row r="7" spans="1:64" s="1" customFormat="1" ht="9.75" customHeight="1">
      <c r="A7" s="148" t="s">
        <v>145</v>
      </c>
      <c r="B7" s="5">
        <v>200</v>
      </c>
      <c r="C7" s="5">
        <v>1</v>
      </c>
      <c r="D7" s="5"/>
      <c r="E7" s="5"/>
      <c r="F7" s="214"/>
      <c r="G7" s="3">
        <v>87734.4</v>
      </c>
      <c r="H7" s="3"/>
      <c r="I7" s="185">
        <f>(G7)*0.02</f>
        <v>1754.6879999999999</v>
      </c>
      <c r="J7" s="3">
        <f>G7+I7</f>
        <v>89489.08799999999</v>
      </c>
      <c r="K7" s="48" t="s">
        <v>65</v>
      </c>
      <c r="L7" s="3">
        <f aca="true" t="shared" si="0" ref="L7:L12">IF(K7="o",(G7+H7+I7)*$L$2,(G7+H7+I7)*$L$3)</f>
        <v>1655.5481279999997</v>
      </c>
      <c r="M7" s="3">
        <f>J7*$M$5</f>
        <v>12170.515968</v>
      </c>
      <c r="N7" s="185">
        <f aca="true" t="shared" si="1" ref="N7:N14">P7-O7</f>
        <v>11699.25</v>
      </c>
      <c r="O7" s="185">
        <f>P7*0.25</f>
        <v>3899.75</v>
      </c>
      <c r="P7" s="210">
        <v>15599</v>
      </c>
      <c r="Q7" s="188">
        <f>G7*((5*$Q$5))/100</f>
        <v>3070.7039999999997</v>
      </c>
      <c r="R7" s="3">
        <f aca="true" t="shared" si="2" ref="R7:R28">IF($B7=100,$G7*$C7,IF($C7=100,$G7*$E7,0))</f>
        <v>0</v>
      </c>
      <c r="S7" s="3"/>
      <c r="T7" s="3">
        <f aca="true" t="shared" si="3" ref="T7:T27">IF($B7=100,$L7*$C7,IF($C7=100,$L7*$E7,0))</f>
        <v>0</v>
      </c>
      <c r="U7" s="3"/>
      <c r="V7" s="3">
        <f>N7</f>
        <v>11699.25</v>
      </c>
      <c r="W7" s="3">
        <f>IF($B7=100,Q7*$C7,IF($C7=100,Q7*$E7,0))</f>
        <v>0</v>
      </c>
      <c r="X7" s="3">
        <f>IF($B7=200,$J7*$C7,IF($C7=200,$J7*$E7,0))</f>
        <v>89489.08799999999</v>
      </c>
      <c r="Y7" s="3">
        <f>SUM(I7)</f>
        <v>1754.6879999999999</v>
      </c>
      <c r="Z7" s="3">
        <f aca="true" t="shared" si="4" ref="Z7:Z25">IF($B7=200,$L7*$C7,IF($C7=200,$L7*$E7,0))</f>
        <v>1655.5481279999997</v>
      </c>
      <c r="AA7" s="3">
        <f>J7*$M$5</f>
        <v>12170.515968</v>
      </c>
      <c r="AB7" s="3">
        <v>0</v>
      </c>
      <c r="AC7" s="3">
        <f aca="true" t="shared" si="5" ref="AC7:AC12">IF($B7=200,Q7*$C7,IF($C7=200,Q7*$E7,0))</f>
        <v>3070.7039999999997</v>
      </c>
      <c r="AD7" s="3">
        <f aca="true" t="shared" si="6" ref="AD7:AD25">IF($B7=300,$G7*$C7,IF($D7=300,$G7*$E7,0))</f>
        <v>0</v>
      </c>
      <c r="AE7" s="3">
        <f>IF($B7=300,H7*$C7,IF($D7=300,H7*$E7,0))</f>
        <v>0</v>
      </c>
      <c r="AF7" s="3">
        <f aca="true" t="shared" si="7" ref="AF7:AF28">IF($B7=300,$L7*$C7,IF($D7=300,$L7*$E7,0))</f>
        <v>0</v>
      </c>
      <c r="AG7" s="3">
        <f>IF($B7=300,M7*$C7,IF($D7=300,M7*$E7,0))</f>
        <v>0</v>
      </c>
      <c r="AH7" s="3">
        <f>IF($B7=300,N7*$C7,IF($D7=300,N7*$E7,0))</f>
        <v>0</v>
      </c>
      <c r="AI7" s="3">
        <f aca="true" t="shared" si="8" ref="AI7:AI12">IF($B7=300,Q7*$C7,IF($D7=300,Q7*$E7,0))</f>
        <v>0</v>
      </c>
      <c r="AJ7" s="3">
        <f aca="true" t="shared" si="9" ref="AJ7:AJ25">IF($B7=710,$G7*$C7,IF($D7=710,$G7*$E7,0))</f>
        <v>0</v>
      </c>
      <c r="AK7" s="3">
        <f aca="true" t="shared" si="10" ref="AK7:AK28">IF($B7=710,$L7*$C7,IF($D7=710,$L7*$E7,0))</f>
        <v>0</v>
      </c>
      <c r="AL7" s="3">
        <f>IF($B7=710,M7*$C7,IF($D7=710,M7*$E7,0))</f>
        <v>0</v>
      </c>
      <c r="AM7" s="3">
        <v>0</v>
      </c>
      <c r="AN7" s="3">
        <f aca="true" t="shared" si="11" ref="AN7:AN12">IF($B7=710,Q7*$C7,IF($D7=710,Q7*$E7,0))</f>
        <v>0</v>
      </c>
      <c r="AO7" s="3">
        <f aca="true" t="shared" si="12" ref="AO7:AO25">IF($B7=720,$G7*$C7,IF($D7=720,$G7*$E7,0))</f>
        <v>0</v>
      </c>
      <c r="AP7" s="3">
        <f>IF($B7=720,H7*$C7,IF($D7=720,H7*$E7,0))</f>
        <v>0</v>
      </c>
      <c r="AQ7" s="3">
        <f aca="true" t="shared" si="13" ref="AQ7:AQ28">IF($B7=720,$L7*$C7,IF($D7=720,$L7*$E7,0))</f>
        <v>0</v>
      </c>
      <c r="AR7" s="3">
        <f aca="true" t="shared" si="14" ref="AR7:AR12">IF($B7=720,M7*$C7,IF($D7=720,M7*$E7,0))</f>
        <v>0</v>
      </c>
      <c r="AS7" s="3">
        <v>0</v>
      </c>
      <c r="AT7" s="3">
        <f aca="true" t="shared" si="15" ref="AT7:AT12">IF($B7=720,Q7*$C7,IF($D7=720,Q7*$E7,0))</f>
        <v>0</v>
      </c>
      <c r="AU7" s="3">
        <f>IF($B7=730,$G7*$C7,IF($D7=730,$G7*$E7,0))</f>
        <v>0</v>
      </c>
      <c r="AV7" s="3">
        <f aca="true" t="shared" si="16" ref="AV7:AV12">IF($B7=730,H7*$C7,IF($D7=730,H7*$E7,0))</f>
        <v>0</v>
      </c>
      <c r="AW7" s="3">
        <f>IF($B7=730,$L7*$C7,IF($D7=730,$L7*$E7,0))</f>
        <v>0</v>
      </c>
      <c r="AX7" s="3">
        <f>IF($B7=730,M7*$C7,IF($D7=730,M7*$E7,0))</f>
        <v>0</v>
      </c>
      <c r="AY7" s="3">
        <f>IF($B7=730,N7*$C7,IF($D7=730,N7*$E7,0))</f>
        <v>0</v>
      </c>
      <c r="AZ7" s="3">
        <f aca="true" t="shared" si="17" ref="AZ7:AZ12">IF($B7=730,Q7*$C7,IF($D7=730,Q7*$E7,0))</f>
        <v>0</v>
      </c>
      <c r="BA7" s="3">
        <f>IF($B7=740,$G7*$C7,IF($D7=740,$G7*$E7,0))</f>
        <v>0</v>
      </c>
      <c r="BB7" s="3">
        <f>IF($B7=740,H7*$C7,IF($D7=740,H7*$E7,0))</f>
        <v>0</v>
      </c>
      <c r="BC7" s="3">
        <f>IF($B7=740,$L7*$C7,IF($D7=740,$L7*$E7,0))</f>
        <v>0</v>
      </c>
      <c r="BD7" s="3">
        <f>IF($B7=740,M7*$C7,IF($D7=740,M7*$E7,0))</f>
        <v>0</v>
      </c>
      <c r="BE7" s="3">
        <f>IF($B7=740,N7*$C7,IF($D7=740,N7*$E7,0))</f>
        <v>0</v>
      </c>
      <c r="BF7" s="3">
        <f aca="true" t="shared" si="18" ref="BF7:BF12">IF($B7=740,Q7*$C7,IF($D7=740,Q7*$E7,0))</f>
        <v>0</v>
      </c>
      <c r="BG7" s="3">
        <f>IF($B7=740,$G7*$C7,IF($D7=740,$G7*$E7,0))</f>
        <v>0</v>
      </c>
      <c r="BH7" s="3">
        <f>IF($B7=740,N7*$C7,IF($D7=740,N7*$E7,0))</f>
        <v>0</v>
      </c>
      <c r="BI7" s="3">
        <f>IF($B7=740,$L7*$C7,IF($D7=740,$L7*$E7,0))</f>
        <v>0</v>
      </c>
      <c r="BJ7" s="3">
        <f>IF($B7=740,S7*$C7,IF($D7=740,S7*$E7,0))</f>
        <v>0</v>
      </c>
      <c r="BK7" s="3">
        <f>IF($B7=740,T7*$C7,IF($D7=740,T7*$E7,0))</f>
        <v>0</v>
      </c>
      <c r="BL7" s="3">
        <f>IF($B7=740,W7*$C7,IF($D7=740,W7*$E7,0))</f>
        <v>0</v>
      </c>
    </row>
    <row r="8" spans="1:64" ht="12" customHeight="1">
      <c r="A8" s="4" t="s">
        <v>189</v>
      </c>
      <c r="B8" s="5">
        <v>200</v>
      </c>
      <c r="C8" s="5">
        <v>1</v>
      </c>
      <c r="F8" s="214"/>
      <c r="G8" s="3">
        <v>87734.4</v>
      </c>
      <c r="H8" s="3"/>
      <c r="I8" s="185">
        <f>(G8)*0.02</f>
        <v>1754.6879999999999</v>
      </c>
      <c r="J8" s="3">
        <f>G8+I8</f>
        <v>89489.08799999999</v>
      </c>
      <c r="K8" s="48" t="s">
        <v>65</v>
      </c>
      <c r="L8" s="3">
        <f t="shared" si="0"/>
        <v>1655.5481279999997</v>
      </c>
      <c r="M8" s="3">
        <f>J8*$M$5</f>
        <v>12170.515968</v>
      </c>
      <c r="N8" s="185">
        <f t="shared" si="1"/>
        <v>11699.25</v>
      </c>
      <c r="O8" s="185">
        <f aca="true" t="shared" si="19" ref="O8:O16">P8*0.25</f>
        <v>3899.75</v>
      </c>
      <c r="P8" s="210">
        <v>15599</v>
      </c>
      <c r="Q8" s="188">
        <f aca="true" t="shared" si="20" ref="Q8:Q25">G8*((5*$Q$5))/100</f>
        <v>3070.7039999999997</v>
      </c>
      <c r="R8" s="3">
        <f t="shared" si="2"/>
        <v>0</v>
      </c>
      <c r="S8" s="3"/>
      <c r="T8" s="3">
        <f t="shared" si="3"/>
        <v>0</v>
      </c>
      <c r="U8" s="3">
        <v>0</v>
      </c>
      <c r="V8" s="3">
        <v>0</v>
      </c>
      <c r="W8" s="3">
        <f aca="true" t="shared" si="21" ref="W8:W16">IF($B8=100,Q8*$C8,IF($C8=100,Q8*$E8,0))</f>
        <v>0</v>
      </c>
      <c r="X8" s="3">
        <f aca="true" t="shared" si="22" ref="X8:X27">IF($B8=200,$J8*$C8,IF($C8=200,$J8*$E8,0))</f>
        <v>89489.08799999999</v>
      </c>
      <c r="Y8" s="3">
        <f aca="true" t="shared" si="23" ref="Y8:Y18">SUM(I8)</f>
        <v>1754.6879999999999</v>
      </c>
      <c r="Z8" s="3">
        <f t="shared" si="4"/>
        <v>1655.5481279999997</v>
      </c>
      <c r="AA8" s="3">
        <f>J8*$M$5</f>
        <v>12170.515968</v>
      </c>
      <c r="AB8" s="3">
        <f>N8</f>
        <v>11699.25</v>
      </c>
      <c r="AC8" s="3">
        <f t="shared" si="5"/>
        <v>3070.7039999999997</v>
      </c>
      <c r="AD8" s="3">
        <f t="shared" si="6"/>
        <v>0</v>
      </c>
      <c r="AE8" s="3">
        <f aca="true" t="shared" si="24" ref="AE8:AE22">IF($B8=300,H8*$C8,IF($D8=300,H8*$E8,0))</f>
        <v>0</v>
      </c>
      <c r="AF8" s="3">
        <f t="shared" si="7"/>
        <v>0</v>
      </c>
      <c r="AG8" s="3">
        <f aca="true" t="shared" si="25" ref="AG8:AH28">IF($B8=300,M8*$C8,IF($D8=300,M8*$E8,0))</f>
        <v>0</v>
      </c>
      <c r="AH8" s="3">
        <f t="shared" si="25"/>
        <v>0</v>
      </c>
      <c r="AI8" s="3">
        <f t="shared" si="8"/>
        <v>0</v>
      </c>
      <c r="AJ8" s="3">
        <f t="shared" si="9"/>
        <v>0</v>
      </c>
      <c r="AK8" s="3">
        <f t="shared" si="10"/>
        <v>0</v>
      </c>
      <c r="AL8" s="3">
        <f aca="true" t="shared" si="26" ref="AL8:AM28">IF($B8=710,M8*$C8,IF($D8=710,M8*$E8,0))</f>
        <v>0</v>
      </c>
      <c r="AM8" s="3">
        <v>0</v>
      </c>
      <c r="AN8" s="3">
        <f t="shared" si="11"/>
        <v>0</v>
      </c>
      <c r="AO8" s="3">
        <f t="shared" si="12"/>
        <v>0</v>
      </c>
      <c r="AP8" s="3">
        <f>IF($B8=720,H8*$C8,IF($D8=720,H8*$E8,0))</f>
        <v>0</v>
      </c>
      <c r="AQ8" s="3">
        <f t="shared" si="13"/>
        <v>0</v>
      </c>
      <c r="AR8" s="3">
        <f t="shared" si="14"/>
        <v>0</v>
      </c>
      <c r="AS8" s="3">
        <v>0</v>
      </c>
      <c r="AT8" s="3">
        <f t="shared" si="15"/>
        <v>0</v>
      </c>
      <c r="AU8" s="3">
        <f>IF($B8=730,$G8*$C8,IF($D8=730,$G8*$E8,0))</f>
        <v>0</v>
      </c>
      <c r="AV8" s="3">
        <f t="shared" si="16"/>
        <v>0</v>
      </c>
      <c r="AW8" s="3">
        <f>IF($B8=730,$L8*$C8,IF($D8=730,$L8*$E8,0))</f>
        <v>0</v>
      </c>
      <c r="AX8" s="3">
        <f aca="true" t="shared" si="27" ref="AX8:AY12">IF($B8=730,M8*$C8,IF($D8=730,M8*$E8,0))</f>
        <v>0</v>
      </c>
      <c r="AY8" s="3">
        <f t="shared" si="27"/>
        <v>0</v>
      </c>
      <c r="AZ8" s="3">
        <f t="shared" si="17"/>
        <v>0</v>
      </c>
      <c r="BA8" s="3">
        <f>IF($B8=740,$G8*$C8,IF($D8=740,$G8*$E8,0))</f>
        <v>0</v>
      </c>
      <c r="BB8" s="3">
        <f>IF($B8=740,H8*$C8,IF($D8=740,H8*$E8,0))</f>
        <v>0</v>
      </c>
      <c r="BC8" s="3">
        <f>IF($B8=740,$L8*$C8,IF($D8=740,$L8*$E8,0))</f>
        <v>0</v>
      </c>
      <c r="BD8" s="3">
        <f aca="true" t="shared" si="28" ref="BD8:BE12">IF($B8=740,M8*$C8,IF($D8=740,M8*$E8,0))</f>
        <v>0</v>
      </c>
      <c r="BE8" s="3">
        <f t="shared" si="28"/>
        <v>0</v>
      </c>
      <c r="BF8" s="3">
        <f t="shared" si="18"/>
        <v>0</v>
      </c>
      <c r="BG8" s="3">
        <f>IF($B8=740,$G8*$C8,IF($D8=740,$G8*$E8,0))</f>
        <v>0</v>
      </c>
      <c r="BH8" s="3">
        <f>IF($B8=740,N8*$C8,IF($D8=740,N8*$E8,0))</f>
        <v>0</v>
      </c>
      <c r="BI8" s="3">
        <f>IF($B8=740,$L8*$C8,IF($D8=740,$L8*$E8,0))</f>
        <v>0</v>
      </c>
      <c r="BJ8" s="3">
        <f aca="true" t="shared" si="29" ref="BJ8:BK12">IF($B8=740,S8*$C8,IF($D8=740,S8*$E8,0))</f>
        <v>0</v>
      </c>
      <c r="BK8" s="3">
        <f t="shared" si="29"/>
        <v>0</v>
      </c>
      <c r="BL8" s="3">
        <f>IF($B8=740,W8*$C8,IF($D8=740,W8*$E8,0))</f>
        <v>0</v>
      </c>
    </row>
    <row r="9" spans="1:64" ht="12" customHeight="1">
      <c r="A9" s="4" t="s">
        <v>0</v>
      </c>
      <c r="B9" s="5">
        <v>200</v>
      </c>
      <c r="C9" s="5">
        <v>1</v>
      </c>
      <c r="F9" s="214"/>
      <c r="G9" s="3">
        <v>87734.4</v>
      </c>
      <c r="H9" s="3"/>
      <c r="I9" s="185">
        <f>(G9)*0.02</f>
        <v>1754.6879999999999</v>
      </c>
      <c r="J9" s="3">
        <f>G9+I9</f>
        <v>89489.08799999999</v>
      </c>
      <c r="K9" s="48" t="s">
        <v>65</v>
      </c>
      <c r="L9" s="3">
        <f t="shared" si="0"/>
        <v>1655.5481279999997</v>
      </c>
      <c r="M9" s="3">
        <f>J9*$M$5</f>
        <v>12170.515968</v>
      </c>
      <c r="N9" s="185">
        <f t="shared" si="1"/>
        <v>29277</v>
      </c>
      <c r="O9" s="185">
        <f t="shared" si="19"/>
        <v>9759</v>
      </c>
      <c r="P9" s="210">
        <v>39036</v>
      </c>
      <c r="Q9" s="188">
        <f t="shared" si="20"/>
        <v>3070.7039999999997</v>
      </c>
      <c r="R9" s="3">
        <f t="shared" si="2"/>
        <v>0</v>
      </c>
      <c r="S9" s="3"/>
      <c r="T9" s="3">
        <f t="shared" si="3"/>
        <v>0</v>
      </c>
      <c r="U9" s="3">
        <v>0</v>
      </c>
      <c r="V9" s="3">
        <f>SUM(N9)</f>
        <v>29277</v>
      </c>
      <c r="W9" s="3">
        <f t="shared" si="21"/>
        <v>0</v>
      </c>
      <c r="X9" s="3">
        <f>IF($B9=200,$J9*$C9,IF($C9=200,$J9*$E9,0))</f>
        <v>89489.08799999999</v>
      </c>
      <c r="Y9" s="3">
        <f t="shared" si="23"/>
        <v>1754.6879999999999</v>
      </c>
      <c r="Z9" s="3">
        <f t="shared" si="4"/>
        <v>1655.5481279999997</v>
      </c>
      <c r="AA9" s="3">
        <f>J9*$M$5</f>
        <v>12170.515968</v>
      </c>
      <c r="AB9" s="3">
        <v>0</v>
      </c>
      <c r="AC9" s="3">
        <f t="shared" si="5"/>
        <v>3070.7039999999997</v>
      </c>
      <c r="AD9" s="3">
        <f t="shared" si="6"/>
        <v>0</v>
      </c>
      <c r="AE9" s="3">
        <f t="shared" si="24"/>
        <v>0</v>
      </c>
      <c r="AF9" s="3">
        <f t="shared" si="7"/>
        <v>0</v>
      </c>
      <c r="AG9" s="3">
        <f t="shared" si="25"/>
        <v>0</v>
      </c>
      <c r="AH9" s="3">
        <f t="shared" si="25"/>
        <v>0</v>
      </c>
      <c r="AI9" s="3">
        <f t="shared" si="8"/>
        <v>0</v>
      </c>
      <c r="AJ9" s="3">
        <f t="shared" si="9"/>
        <v>0</v>
      </c>
      <c r="AK9" s="3">
        <f t="shared" si="10"/>
        <v>0</v>
      </c>
      <c r="AL9" s="3">
        <f t="shared" si="26"/>
        <v>0</v>
      </c>
      <c r="AM9" s="3">
        <f t="shared" si="26"/>
        <v>0</v>
      </c>
      <c r="AN9" s="3">
        <f t="shared" si="11"/>
        <v>0</v>
      </c>
      <c r="AO9" s="3">
        <f t="shared" si="12"/>
        <v>0</v>
      </c>
      <c r="AP9" s="3">
        <f>IF($B9=720,H9*$C9,IF($D9=720,H9*$E9,0))</f>
        <v>0</v>
      </c>
      <c r="AQ9" s="3">
        <f t="shared" si="13"/>
        <v>0</v>
      </c>
      <c r="AR9" s="3">
        <f t="shared" si="14"/>
        <v>0</v>
      </c>
      <c r="AS9" s="3">
        <f>IF($B9=720,N9*$C9,IF($D9=720,N9*$E9,0))</f>
        <v>0</v>
      </c>
      <c r="AT9" s="3">
        <f t="shared" si="15"/>
        <v>0</v>
      </c>
      <c r="AU9" s="3">
        <f aca="true" t="shared" si="30" ref="AU9:AU25">IF($B9=730,$G9*$C9,IF($D9=730,$G9*$E9,0))</f>
        <v>0</v>
      </c>
      <c r="AV9" s="3">
        <f t="shared" si="16"/>
        <v>0</v>
      </c>
      <c r="AW9" s="3">
        <f aca="true" t="shared" si="31" ref="AW9:AW28">IF($B9=730,$L9*$C9,IF($D9=730,$L9*$E9,0))</f>
        <v>0</v>
      </c>
      <c r="AX9" s="3">
        <f t="shared" si="27"/>
        <v>0</v>
      </c>
      <c r="AY9" s="3">
        <f t="shared" si="27"/>
        <v>0</v>
      </c>
      <c r="AZ9" s="3">
        <f t="shared" si="17"/>
        <v>0</v>
      </c>
      <c r="BA9" s="3">
        <f aca="true" t="shared" si="32" ref="BA9:BA25">IF($B9=740,$G9*$C9,IF($D9=740,$G9*$E9,0))</f>
        <v>0</v>
      </c>
      <c r="BB9" s="3">
        <f>IF($B9=740,H9*$C9,IF($D9=740,H9*$E9,0))</f>
        <v>0</v>
      </c>
      <c r="BC9" s="3">
        <f aca="true" t="shared" si="33" ref="BC9:BC28">IF($B9=740,$L9*$C9,IF($D9=740,$L9*$E9,0))</f>
        <v>0</v>
      </c>
      <c r="BD9" s="3">
        <f t="shared" si="28"/>
        <v>0</v>
      </c>
      <c r="BE9" s="3">
        <f t="shared" si="28"/>
        <v>0</v>
      </c>
      <c r="BF9" s="3">
        <f t="shared" si="18"/>
        <v>0</v>
      </c>
      <c r="BG9" s="3">
        <f>IF($B9=740,$G9*$C9,IF($D9=740,$G9*$E9,0))</f>
        <v>0</v>
      </c>
      <c r="BH9" s="3">
        <f>IF($B9=740,N9*$C9,IF($D9=740,N9*$E9,0))</f>
        <v>0</v>
      </c>
      <c r="BI9" s="3">
        <f>IF($B9=740,$L9*$C9,IF($D9=740,$L9*$E9,0))</f>
        <v>0</v>
      </c>
      <c r="BJ9" s="3">
        <f t="shared" si="29"/>
        <v>0</v>
      </c>
      <c r="BK9" s="3">
        <f t="shared" si="29"/>
        <v>0</v>
      </c>
      <c r="BL9" s="3">
        <f>IF($B9=740,W9*$C9,IF($D9=740,W9*$E9,0))</f>
        <v>0</v>
      </c>
    </row>
    <row r="10" spans="1:64" ht="12" customHeight="1">
      <c r="A10" s="4" t="s">
        <v>195</v>
      </c>
      <c r="B10" s="5">
        <v>200</v>
      </c>
      <c r="C10" s="5">
        <v>0.05</v>
      </c>
      <c r="D10" s="5">
        <v>730</v>
      </c>
      <c r="E10" s="5">
        <v>0.95</v>
      </c>
      <c r="F10" s="214"/>
      <c r="G10" s="3">
        <v>51814</v>
      </c>
      <c r="H10" s="39">
        <v>0</v>
      </c>
      <c r="I10" s="185">
        <v>0</v>
      </c>
      <c r="J10" s="3">
        <f>G10+I10</f>
        <v>51814</v>
      </c>
      <c r="K10" s="48" t="s">
        <v>65</v>
      </c>
      <c r="L10" s="3">
        <f t="shared" si="0"/>
        <v>958.559</v>
      </c>
      <c r="M10" s="3">
        <f>J10*$M$5</f>
        <v>7046.704000000001</v>
      </c>
      <c r="N10" s="185">
        <f>P10-O10</f>
        <v>11352.75</v>
      </c>
      <c r="O10" s="185">
        <f>P10*0.25</f>
        <v>3784.25</v>
      </c>
      <c r="P10" s="210">
        <v>15137</v>
      </c>
      <c r="Q10" s="188">
        <f t="shared" si="20"/>
        <v>1813.49</v>
      </c>
      <c r="R10" s="3">
        <f>IF($B10=100,$G10*$C10,IF($C10=100,$G10*$E10,0))</f>
        <v>0</v>
      </c>
      <c r="S10" s="3"/>
      <c r="T10" s="3">
        <f t="shared" si="3"/>
        <v>0</v>
      </c>
      <c r="U10" s="3">
        <v>0</v>
      </c>
      <c r="V10" s="3">
        <f>N10</f>
        <v>11352.75</v>
      </c>
      <c r="W10" s="3">
        <f t="shared" si="21"/>
        <v>0</v>
      </c>
      <c r="X10" s="3">
        <f>IF($B10=200,$J10*$C10,IF($C10=200,$J10*$E10,0))</f>
        <v>2590.7000000000003</v>
      </c>
      <c r="Y10" s="3">
        <f t="shared" si="23"/>
        <v>0</v>
      </c>
      <c r="Z10" s="3">
        <f t="shared" si="4"/>
        <v>47.92795</v>
      </c>
      <c r="AA10" s="3">
        <f>P10*$M$5</f>
        <v>2058.632</v>
      </c>
      <c r="AB10" s="3">
        <v>0</v>
      </c>
      <c r="AC10" s="3">
        <f t="shared" si="5"/>
        <v>90.67450000000001</v>
      </c>
      <c r="AD10" s="3">
        <f>IF($B10=300,$G10*$C10,IF($D10=300,$G10*$E10,0))</f>
        <v>0</v>
      </c>
      <c r="AE10" s="3">
        <f t="shared" si="24"/>
        <v>0</v>
      </c>
      <c r="AF10" s="3">
        <f t="shared" si="7"/>
        <v>0</v>
      </c>
      <c r="AG10" s="3">
        <f t="shared" si="25"/>
        <v>0</v>
      </c>
      <c r="AH10" s="3">
        <f t="shared" si="25"/>
        <v>0</v>
      </c>
      <c r="AI10" s="3">
        <f t="shared" si="8"/>
        <v>0</v>
      </c>
      <c r="AJ10" s="3">
        <f>IF($B10=710,$G10*$C10,IF($D10=710,$G10*$E10,0))</f>
        <v>0</v>
      </c>
      <c r="AK10" s="3">
        <f t="shared" si="10"/>
        <v>0</v>
      </c>
      <c r="AL10" s="3">
        <f t="shared" si="26"/>
        <v>0</v>
      </c>
      <c r="AM10" s="3">
        <f t="shared" si="26"/>
        <v>0</v>
      </c>
      <c r="AN10" s="3">
        <f t="shared" si="11"/>
        <v>0</v>
      </c>
      <c r="AO10" s="3">
        <f>IF($B10=720,$G10*$C10,IF($D10=720,$G10*$E10,0))</f>
        <v>0</v>
      </c>
      <c r="AP10" s="3">
        <f>IF($B10=720,#REF!*$C10,IF($D10=720,#REF!*$E10,0))</f>
        <v>0</v>
      </c>
      <c r="AQ10" s="3">
        <f t="shared" si="13"/>
        <v>0</v>
      </c>
      <c r="AR10" s="3">
        <f t="shared" si="14"/>
        <v>0</v>
      </c>
      <c r="AS10" s="3">
        <f>IF($B10=720,N10*$C10,IF($D10=720,N10*$E10,0))</f>
        <v>0</v>
      </c>
      <c r="AT10" s="3">
        <f t="shared" si="15"/>
        <v>0</v>
      </c>
      <c r="AU10" s="3">
        <f>IF($B10=730,$G10*$C10,IF($D10=730,$G10*$E10,0))</f>
        <v>49223.299999999996</v>
      </c>
      <c r="AV10" s="3">
        <f t="shared" si="16"/>
        <v>0</v>
      </c>
      <c r="AW10" s="3">
        <f t="shared" si="31"/>
        <v>910.63105</v>
      </c>
      <c r="AX10" s="3">
        <f t="shared" si="27"/>
        <v>6694.3688</v>
      </c>
      <c r="AY10" s="3">
        <f t="shared" si="27"/>
        <v>10785.1125</v>
      </c>
      <c r="AZ10" s="3">
        <f t="shared" si="17"/>
        <v>1722.8155</v>
      </c>
      <c r="BA10" s="3">
        <f>IF($B10=740,$G10*$C10,IF($D10=740,$G10*$E10,0))</f>
        <v>0</v>
      </c>
      <c r="BB10" s="3">
        <f>IF($B10=740,#REF!*$C10,IF($D10=740,#REF!*$E10,0))</f>
        <v>0</v>
      </c>
      <c r="BC10" s="3">
        <f t="shared" si="33"/>
        <v>0</v>
      </c>
      <c r="BD10" s="3">
        <f t="shared" si="28"/>
        <v>0</v>
      </c>
      <c r="BE10" s="3">
        <f t="shared" si="28"/>
        <v>0</v>
      </c>
      <c r="BF10" s="3">
        <f t="shared" si="18"/>
        <v>0</v>
      </c>
      <c r="BG10" s="3">
        <f>IF($B10=750,$G10*$C10,IF($D10=750,$G10*$E10,0))</f>
        <v>0</v>
      </c>
      <c r="BH10" s="3">
        <f>IF($B10=750,H10*$C10,IF($D10=750,N10*$E10,0))</f>
        <v>0</v>
      </c>
      <c r="BI10" s="3">
        <f>IF($B10=750,$L10*$C10,IF($D10=750,$L10*$E10,0))</f>
        <v>0</v>
      </c>
      <c r="BJ10" s="3">
        <f t="shared" si="29"/>
        <v>0</v>
      </c>
      <c r="BK10" s="3">
        <f t="shared" si="29"/>
        <v>0</v>
      </c>
      <c r="BL10" s="3">
        <f>IF($B10=750,Q10*$C10,IF($C10=750,AZ10*$E10,0))</f>
        <v>0</v>
      </c>
    </row>
    <row r="11" spans="1:64" ht="12" customHeight="1">
      <c r="A11" s="4" t="s">
        <v>196</v>
      </c>
      <c r="B11" s="5">
        <v>730</v>
      </c>
      <c r="D11" s="5">
        <v>200</v>
      </c>
      <c r="F11" s="214"/>
      <c r="G11" s="3">
        <f>SUM(I11:J11)</f>
        <v>0</v>
      </c>
      <c r="H11" s="3"/>
      <c r="I11" s="185">
        <v>0</v>
      </c>
      <c r="J11" s="3">
        <f>F11</f>
        <v>0</v>
      </c>
      <c r="K11" s="48" t="s">
        <v>65</v>
      </c>
      <c r="L11" s="3">
        <f t="shared" si="0"/>
        <v>0</v>
      </c>
      <c r="M11" s="3">
        <f aca="true" t="shared" si="34" ref="M11:M24">J11*$M$5</f>
        <v>0</v>
      </c>
      <c r="N11" s="185">
        <f t="shared" si="1"/>
        <v>0</v>
      </c>
      <c r="O11" s="185">
        <f t="shared" si="19"/>
        <v>0</v>
      </c>
      <c r="P11" s="210"/>
      <c r="Q11" s="188">
        <f t="shared" si="20"/>
        <v>0</v>
      </c>
      <c r="R11" s="3">
        <f>IF($D11=100,$G11*$E11,IF($E11=100,$G11*$E11,0))</f>
        <v>0</v>
      </c>
      <c r="S11" s="3"/>
      <c r="T11" s="3">
        <f>IF($D11=100,$L11*$E11,IF($E11=100,$L11*$E11,0))</f>
        <v>0</v>
      </c>
      <c r="U11" s="3">
        <v>0</v>
      </c>
      <c r="V11" s="3">
        <f>N11</f>
        <v>0</v>
      </c>
      <c r="W11" s="3">
        <f>IF($D11=100,Q11*$C11,IF($C11=100,Q11*$E11,0))</f>
        <v>0</v>
      </c>
      <c r="X11" s="3">
        <f t="shared" si="22"/>
        <v>0</v>
      </c>
      <c r="Y11" s="3">
        <f t="shared" si="23"/>
        <v>0</v>
      </c>
      <c r="Z11" s="3">
        <f t="shared" si="4"/>
        <v>0</v>
      </c>
      <c r="AA11" s="3">
        <f>J11*$M$5</f>
        <v>0</v>
      </c>
      <c r="AB11" s="3">
        <f>N11</f>
        <v>0</v>
      </c>
      <c r="AC11" s="3">
        <f>IF($B11=200,Q11*$C11,IF($C11=200,Q11*$E11,0))</f>
        <v>0</v>
      </c>
      <c r="AD11" s="3">
        <f t="shared" si="6"/>
        <v>0</v>
      </c>
      <c r="AE11" s="3">
        <f>IF($B11=300,H11*$C11,IF($D11=300,H11*$E11,0))</f>
        <v>0</v>
      </c>
      <c r="AF11" s="3">
        <f t="shared" si="7"/>
        <v>0</v>
      </c>
      <c r="AG11" s="3">
        <f>IF($B11=300,M11*$C11,IF($D11=300,M11*$E11,0))</f>
        <v>0</v>
      </c>
      <c r="AH11" s="3">
        <f>IF($B11=300,N11*$C11,IF($D11=300,N11*$E11,0))</f>
        <v>0</v>
      </c>
      <c r="AI11" s="3">
        <f t="shared" si="8"/>
        <v>0</v>
      </c>
      <c r="AJ11" s="3">
        <f t="shared" si="9"/>
        <v>0</v>
      </c>
      <c r="AK11" s="3">
        <f t="shared" si="10"/>
        <v>0</v>
      </c>
      <c r="AL11" s="3">
        <f>IF($B11=710,M11*$C11,IF($D11=710,M11*$E11,0))</f>
        <v>0</v>
      </c>
      <c r="AM11" s="3">
        <f>IF($B11=710,N11*$C11,IF($D11=710,N11*$E11,0))</f>
        <v>0</v>
      </c>
      <c r="AN11" s="3">
        <f t="shared" si="11"/>
        <v>0</v>
      </c>
      <c r="AO11" s="3">
        <f t="shared" si="12"/>
        <v>0</v>
      </c>
      <c r="AP11" s="3">
        <f>IF($B11=720,H11*$C11,IF($D11=720,H11*$E11,0))</f>
        <v>0</v>
      </c>
      <c r="AQ11" s="3">
        <f t="shared" si="13"/>
        <v>0</v>
      </c>
      <c r="AR11" s="3">
        <f t="shared" si="14"/>
        <v>0</v>
      </c>
      <c r="AS11" s="3">
        <f>IF($B11=720,N11*$C11,IF($D11=720,N11*$E11,0))</f>
        <v>0</v>
      </c>
      <c r="AT11" s="3">
        <f t="shared" si="15"/>
        <v>0</v>
      </c>
      <c r="AU11" s="3">
        <f t="shared" si="30"/>
        <v>0</v>
      </c>
      <c r="AV11" s="3">
        <f t="shared" si="16"/>
        <v>0</v>
      </c>
      <c r="AW11" s="3">
        <f t="shared" si="31"/>
        <v>0</v>
      </c>
      <c r="AX11" s="3">
        <f t="shared" si="27"/>
        <v>0</v>
      </c>
      <c r="AY11" s="3">
        <f t="shared" si="27"/>
        <v>0</v>
      </c>
      <c r="AZ11" s="3">
        <f t="shared" si="17"/>
        <v>0</v>
      </c>
      <c r="BA11" s="3">
        <f t="shared" si="32"/>
        <v>0</v>
      </c>
      <c r="BB11" s="3">
        <v>0</v>
      </c>
      <c r="BC11" s="3">
        <f t="shared" si="33"/>
        <v>0</v>
      </c>
      <c r="BD11" s="3">
        <f t="shared" si="28"/>
        <v>0</v>
      </c>
      <c r="BE11" s="3">
        <f t="shared" si="28"/>
        <v>0</v>
      </c>
      <c r="BF11" s="3">
        <f t="shared" si="18"/>
        <v>0</v>
      </c>
      <c r="BG11" s="3">
        <f>IF($B11=740,$G11*$C11,IF($D11=740,$G11*$E11,0))</f>
        <v>0</v>
      </c>
      <c r="BH11" s="3">
        <v>0</v>
      </c>
      <c r="BI11" s="3">
        <f>IF($B11=740,$L11*$C11,IF($D11=740,$L11*$E11,0))</f>
        <v>0</v>
      </c>
      <c r="BJ11" s="3">
        <f t="shared" si="29"/>
        <v>0</v>
      </c>
      <c r="BK11" s="3">
        <f t="shared" si="29"/>
        <v>0</v>
      </c>
      <c r="BL11" s="3">
        <f>IF($B11=740,W11*$C11,IF($D11=740,W11*$E11,0))</f>
        <v>0</v>
      </c>
    </row>
    <row r="12" spans="1:64" ht="12" customHeight="1">
      <c r="A12" s="4" t="s">
        <v>250</v>
      </c>
      <c r="B12" s="5">
        <v>200</v>
      </c>
      <c r="C12" s="5">
        <v>1</v>
      </c>
      <c r="F12" s="214"/>
      <c r="G12" s="3">
        <v>52540.8</v>
      </c>
      <c r="H12" s="3"/>
      <c r="I12" s="185">
        <v>0</v>
      </c>
      <c r="J12" s="3">
        <f>G12+I12</f>
        <v>52540.8</v>
      </c>
      <c r="K12" s="48" t="s">
        <v>65</v>
      </c>
      <c r="L12" s="3">
        <f t="shared" si="0"/>
        <v>972.0048</v>
      </c>
      <c r="M12" s="3">
        <f t="shared" si="34"/>
        <v>7145.5488000000005</v>
      </c>
      <c r="N12" s="185">
        <f t="shared" si="1"/>
        <v>11352.75</v>
      </c>
      <c r="O12" s="185">
        <f t="shared" si="19"/>
        <v>3784.25</v>
      </c>
      <c r="P12" s="210">
        <v>15137</v>
      </c>
      <c r="Q12" s="188">
        <f t="shared" si="20"/>
        <v>1838.928</v>
      </c>
      <c r="R12" s="3">
        <f t="shared" si="2"/>
        <v>0</v>
      </c>
      <c r="S12" s="3"/>
      <c r="T12" s="3">
        <f t="shared" si="3"/>
        <v>0</v>
      </c>
      <c r="U12" s="3">
        <v>0</v>
      </c>
      <c r="V12" s="3">
        <v>0</v>
      </c>
      <c r="W12" s="3">
        <f t="shared" si="21"/>
        <v>0</v>
      </c>
      <c r="X12" s="3">
        <f t="shared" si="22"/>
        <v>52540.8</v>
      </c>
      <c r="Y12" s="3">
        <f t="shared" si="23"/>
        <v>0</v>
      </c>
      <c r="Z12" s="3">
        <f t="shared" si="4"/>
        <v>972.0048</v>
      </c>
      <c r="AA12" s="3">
        <f aca="true" t="shared" si="35" ref="AA12:AA17">J12*$M$5</f>
        <v>7145.5488000000005</v>
      </c>
      <c r="AB12" s="3">
        <f>N12</f>
        <v>11352.75</v>
      </c>
      <c r="AC12" s="3">
        <f t="shared" si="5"/>
        <v>1838.928</v>
      </c>
      <c r="AD12" s="3">
        <f t="shared" si="6"/>
        <v>0</v>
      </c>
      <c r="AE12" s="3">
        <f t="shared" si="24"/>
        <v>0</v>
      </c>
      <c r="AF12" s="3">
        <f t="shared" si="7"/>
        <v>0</v>
      </c>
      <c r="AG12" s="3">
        <f t="shared" si="25"/>
        <v>0</v>
      </c>
      <c r="AH12" s="3">
        <f t="shared" si="25"/>
        <v>0</v>
      </c>
      <c r="AI12" s="3">
        <f t="shared" si="8"/>
        <v>0</v>
      </c>
      <c r="AJ12" s="3">
        <f t="shared" si="9"/>
        <v>0</v>
      </c>
      <c r="AK12" s="3">
        <f t="shared" si="10"/>
        <v>0</v>
      </c>
      <c r="AL12" s="3">
        <f t="shared" si="26"/>
        <v>0</v>
      </c>
      <c r="AM12" s="3">
        <f t="shared" si="26"/>
        <v>0</v>
      </c>
      <c r="AN12" s="3">
        <f t="shared" si="11"/>
        <v>0</v>
      </c>
      <c r="AO12" s="3">
        <f t="shared" si="12"/>
        <v>0</v>
      </c>
      <c r="AP12" s="3">
        <f>IF($B12=720,H12*$C12,IF($D12=720,H12*$E12,0))</f>
        <v>0</v>
      </c>
      <c r="AQ12" s="3">
        <f t="shared" si="13"/>
        <v>0</v>
      </c>
      <c r="AR12" s="3">
        <f t="shared" si="14"/>
        <v>0</v>
      </c>
      <c r="AS12" s="3">
        <f>IF($B12=720,N12*$C12,IF($D12=720,N12*$E12,0))</f>
        <v>0</v>
      </c>
      <c r="AT12" s="3">
        <f t="shared" si="15"/>
        <v>0</v>
      </c>
      <c r="AU12" s="3">
        <f t="shared" si="30"/>
        <v>0</v>
      </c>
      <c r="AV12" s="3">
        <f t="shared" si="16"/>
        <v>0</v>
      </c>
      <c r="AW12" s="3">
        <f t="shared" si="31"/>
        <v>0</v>
      </c>
      <c r="AX12" s="3">
        <f t="shared" si="27"/>
        <v>0</v>
      </c>
      <c r="AY12" s="3">
        <f t="shared" si="27"/>
        <v>0</v>
      </c>
      <c r="AZ12" s="3">
        <f t="shared" si="17"/>
        <v>0</v>
      </c>
      <c r="BA12" s="3">
        <f t="shared" si="32"/>
        <v>0</v>
      </c>
      <c r="BB12" s="3">
        <f>IF($B12=740,H12*$C12,IF($D12=740,H12*$E12,0))</f>
        <v>0</v>
      </c>
      <c r="BC12" s="3">
        <f t="shared" si="33"/>
        <v>0</v>
      </c>
      <c r="BD12" s="3">
        <f t="shared" si="28"/>
        <v>0</v>
      </c>
      <c r="BE12" s="3">
        <f t="shared" si="28"/>
        <v>0</v>
      </c>
      <c r="BF12" s="3">
        <f t="shared" si="18"/>
        <v>0</v>
      </c>
      <c r="BG12" s="3">
        <f>IF($B12=740,$G12*$C12,IF($D12=740,$G12*$E12,0))</f>
        <v>0</v>
      </c>
      <c r="BH12" s="3">
        <f>IF($B12=740,N12*$C12,IF($D12=740,N12*$E12,0))</f>
        <v>0</v>
      </c>
      <c r="BI12" s="3">
        <f>IF($B12=740,$L12*$C12,IF($D12=740,$L12*$E12,0))</f>
        <v>0</v>
      </c>
      <c r="BJ12" s="3">
        <f t="shared" si="29"/>
        <v>0</v>
      </c>
      <c r="BK12" s="3">
        <f t="shared" si="29"/>
        <v>0</v>
      </c>
      <c r="BL12" s="3">
        <f>IF($B12=740,W12*$C12,IF($D12=740,W12*$E12,0))</f>
        <v>0</v>
      </c>
    </row>
    <row r="13" spans="1:64" ht="13.5" customHeight="1">
      <c r="A13" s="96"/>
      <c r="F13" s="214"/>
      <c r="G13" s="3"/>
      <c r="H13" s="3"/>
      <c r="I13" s="185"/>
      <c r="J13" s="3">
        <f>F13</f>
        <v>0</v>
      </c>
      <c r="K13" s="48"/>
      <c r="L13" s="3"/>
      <c r="M13" s="3">
        <f t="shared" si="34"/>
        <v>0</v>
      </c>
      <c r="N13" s="185"/>
      <c r="O13" s="185"/>
      <c r="P13" s="210"/>
      <c r="Q13" s="188">
        <f t="shared" si="20"/>
        <v>0</v>
      </c>
      <c r="R13" s="3"/>
      <c r="S13" s="3"/>
      <c r="T13" s="3"/>
      <c r="U13" s="3">
        <v>0</v>
      </c>
      <c r="V13" s="3"/>
      <c r="W13" s="3"/>
      <c r="X13" s="3"/>
      <c r="Y13" s="3">
        <f t="shared" si="23"/>
        <v>0</v>
      </c>
      <c r="Z13" s="3"/>
      <c r="AA13" s="3">
        <f t="shared" si="35"/>
        <v>0</v>
      </c>
      <c r="AB13" s="3">
        <v>0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2" customHeight="1">
      <c r="A14" s="209" t="s">
        <v>176</v>
      </c>
      <c r="B14" s="5">
        <v>200</v>
      </c>
      <c r="C14" s="5">
        <v>1</v>
      </c>
      <c r="D14" s="5">
        <v>200</v>
      </c>
      <c r="E14" s="5">
        <v>0</v>
      </c>
      <c r="F14" s="214"/>
      <c r="G14" s="3">
        <v>65228.8</v>
      </c>
      <c r="H14" s="3"/>
      <c r="I14" s="185"/>
      <c r="J14" s="3">
        <f>G14+I14</f>
        <v>65228.8</v>
      </c>
      <c r="K14" s="48" t="s">
        <v>65</v>
      </c>
      <c r="L14" s="3">
        <f aca="true" t="shared" si="36" ref="L14:L20">IF(K14="o",(G14+H14+I14)*$L$2,(G14+H14+I14)*$L$3)</f>
        <v>1206.7328</v>
      </c>
      <c r="M14" s="3">
        <f t="shared" si="34"/>
        <v>8871.116800000002</v>
      </c>
      <c r="N14" s="185">
        <f t="shared" si="1"/>
        <v>11699.25</v>
      </c>
      <c r="O14" s="185">
        <f t="shared" si="19"/>
        <v>3899.75</v>
      </c>
      <c r="P14" s="210">
        <v>15599</v>
      </c>
      <c r="Q14" s="188">
        <f t="shared" si="20"/>
        <v>2283.0080000000003</v>
      </c>
      <c r="R14" s="3">
        <f t="shared" si="2"/>
        <v>0</v>
      </c>
      <c r="S14" s="3"/>
      <c r="T14" s="3">
        <f t="shared" si="3"/>
        <v>0</v>
      </c>
      <c r="U14" s="3">
        <v>0</v>
      </c>
      <c r="V14" s="3">
        <f>SUM(N14)</f>
        <v>11699.25</v>
      </c>
      <c r="W14" s="3">
        <f t="shared" si="21"/>
        <v>0</v>
      </c>
      <c r="X14" s="3">
        <f t="shared" si="22"/>
        <v>65228.8</v>
      </c>
      <c r="Y14" s="3">
        <f t="shared" si="23"/>
        <v>0</v>
      </c>
      <c r="Z14" s="3">
        <f>IF($D14=200,$L14*$E14,IF($E14=200,$L14*$E14,0))</f>
        <v>0</v>
      </c>
      <c r="AA14" s="3">
        <f t="shared" si="35"/>
        <v>8871.116800000002</v>
      </c>
      <c r="AB14" s="3">
        <v>0</v>
      </c>
      <c r="AC14" s="3">
        <f>IF($D14=200,Q14*$E14,IF($E14=200,Q14*$E14,0))</f>
        <v>0</v>
      </c>
      <c r="AD14" s="3">
        <f t="shared" si="6"/>
        <v>0</v>
      </c>
      <c r="AE14" s="3">
        <f t="shared" si="24"/>
        <v>0</v>
      </c>
      <c r="AF14" s="3">
        <f t="shared" si="7"/>
        <v>0</v>
      </c>
      <c r="AG14" s="3">
        <f t="shared" si="25"/>
        <v>0</v>
      </c>
      <c r="AH14" s="3">
        <f t="shared" si="25"/>
        <v>0</v>
      </c>
      <c r="AI14" s="3">
        <f aca="true" t="shared" si="37" ref="AI14:AI20">IF($B14=300,Q14*$C14,IF($D14=300,Q14*$E14,0))</f>
        <v>0</v>
      </c>
      <c r="AJ14" s="3">
        <f t="shared" si="9"/>
        <v>0</v>
      </c>
      <c r="AK14" s="3">
        <f t="shared" si="10"/>
        <v>0</v>
      </c>
      <c r="AL14" s="3">
        <f t="shared" si="26"/>
        <v>0</v>
      </c>
      <c r="AM14" s="3">
        <f t="shared" si="26"/>
        <v>0</v>
      </c>
      <c r="AN14" s="3">
        <f aca="true" t="shared" si="38" ref="AN14:AN20">IF($B14=710,Q14*$C14,IF($D14=710,Q14*$E14,0))</f>
        <v>0</v>
      </c>
      <c r="AO14" s="3">
        <f t="shared" si="12"/>
        <v>0</v>
      </c>
      <c r="AP14" s="3">
        <f aca="true" t="shared" si="39" ref="AP14:AP20">IF($B14=720,H14*$C14,IF($D14=720,H14*$E14,0))</f>
        <v>0</v>
      </c>
      <c r="AQ14" s="3">
        <f t="shared" si="13"/>
        <v>0</v>
      </c>
      <c r="AR14" s="3">
        <f>IF($B14=720,M14*$C14,IF($D14=720,M14*$E14,0))</f>
        <v>0</v>
      </c>
      <c r="AS14" s="3">
        <f>IF($B14=720,N14*$C14,IF($D14=720,N14*$E14,0))</f>
        <v>0</v>
      </c>
      <c r="AT14" s="3">
        <f aca="true" t="shared" si="40" ref="AT14:AT20">IF($B14=720,Q14*$C14,IF($D14=720,Q14*$E14,0))</f>
        <v>0</v>
      </c>
      <c r="AU14" s="3">
        <f t="shared" si="30"/>
        <v>0</v>
      </c>
      <c r="AV14" s="3">
        <f aca="true" t="shared" si="41" ref="AV14:AV20">IF($B14=730,H14*$C14,IF($D14=730,H14*$E14,0))</f>
        <v>0</v>
      </c>
      <c r="AW14" s="3">
        <f t="shared" si="31"/>
        <v>0</v>
      </c>
      <c r="AX14" s="3">
        <v>0</v>
      </c>
      <c r="AY14" s="3">
        <v>0</v>
      </c>
      <c r="AZ14" s="3">
        <f aca="true" t="shared" si="42" ref="AZ14:AZ20">IF($B14=730,Q14*$C14,IF($D14=730,Q14*$E14,0))</f>
        <v>0</v>
      </c>
      <c r="BA14" s="3">
        <f t="shared" si="32"/>
        <v>0</v>
      </c>
      <c r="BB14" s="3">
        <v>0</v>
      </c>
      <c r="BC14" s="3">
        <f t="shared" si="33"/>
        <v>0</v>
      </c>
      <c r="BD14" s="3">
        <f>IF($B14=740,M14*$C14,IF($D14=740,M14*$E14,0))</f>
        <v>0</v>
      </c>
      <c r="BE14" s="3">
        <f>IF($B14=740,N14*$C14,IF($D14=740,N14*$E14,0))</f>
        <v>0</v>
      </c>
      <c r="BF14" s="3">
        <f aca="true" t="shared" si="43" ref="BF14:BF20">IF($B14=740,Q14*$C14,IF($D14=740,Q14*$E14,0))</f>
        <v>0</v>
      </c>
      <c r="BG14" s="3">
        <f>IF($B14=740,$G14*$C14,IF($D14=740,$G14*$E14,0))</f>
        <v>0</v>
      </c>
      <c r="BH14" s="3">
        <v>0</v>
      </c>
      <c r="BI14" s="3">
        <f>IF($B14=740,$L14*$C14,IF($D14=740,$L14*$E14,0))</f>
        <v>0</v>
      </c>
      <c r="BJ14" s="3">
        <f>IF($B14=740,S14*$C14,IF($D14=740,S14*$E14,0))</f>
        <v>0</v>
      </c>
      <c r="BK14" s="3">
        <f>IF($B14=740,T14*$C14,IF($D14=740,T14*$E14,0))</f>
        <v>0</v>
      </c>
      <c r="BL14" s="3">
        <f aca="true" t="shared" si="44" ref="BL14:BL20">IF($B14=740,W14*$C14,IF($D14=740,W14*$E14,0))</f>
        <v>0</v>
      </c>
    </row>
    <row r="15" spans="1:64" ht="12" customHeight="1">
      <c r="A15" s="209" t="s">
        <v>198</v>
      </c>
      <c r="B15" s="5">
        <v>200</v>
      </c>
      <c r="C15" s="5">
        <v>0.82</v>
      </c>
      <c r="D15" s="5">
        <v>730</v>
      </c>
      <c r="E15" s="5">
        <v>0.18</v>
      </c>
      <c r="F15" s="214"/>
      <c r="G15" s="3">
        <v>56222.4</v>
      </c>
      <c r="H15" s="3"/>
      <c r="I15" s="185"/>
      <c r="J15" s="3">
        <f>G15+I15</f>
        <v>56222.4</v>
      </c>
      <c r="K15" s="48" t="s">
        <v>65</v>
      </c>
      <c r="L15" s="3">
        <f t="shared" si="36"/>
        <v>1040.1144</v>
      </c>
      <c r="M15" s="3">
        <f>J15*$M$5</f>
        <v>7646.246400000001</v>
      </c>
      <c r="N15" s="185">
        <f aca="true" t="shared" si="45" ref="N15:N20">P15-O15</f>
        <v>29277</v>
      </c>
      <c r="O15" s="185">
        <f>P15*0.25</f>
        <v>9759</v>
      </c>
      <c r="P15" s="210">
        <v>39036</v>
      </c>
      <c r="Q15" s="188">
        <f>G15*((5*$Q$5))/100</f>
        <v>1967.7839999999999</v>
      </c>
      <c r="R15" s="3">
        <f t="shared" si="2"/>
        <v>0</v>
      </c>
      <c r="S15" s="3"/>
      <c r="T15" s="3">
        <f t="shared" si="3"/>
        <v>0</v>
      </c>
      <c r="U15" s="3">
        <v>0</v>
      </c>
      <c r="V15" s="3">
        <f>SUM(N15)</f>
        <v>29277</v>
      </c>
      <c r="W15" s="3">
        <f>IF($B15=200,Q15*$C15,IF($C15=200,Q15*$E15,0))</f>
        <v>1613.5828799999997</v>
      </c>
      <c r="X15" s="3">
        <f t="shared" si="22"/>
        <v>46102.367999999995</v>
      </c>
      <c r="Y15" s="3">
        <f>SUM(I15)</f>
        <v>0</v>
      </c>
      <c r="Z15" s="3">
        <f>IF($D15=200,$L15*$E15,IF($E15=200,$L15*$E15,0))</f>
        <v>0</v>
      </c>
      <c r="AA15" s="3">
        <f t="shared" si="35"/>
        <v>7646.246400000001</v>
      </c>
      <c r="AB15" s="3">
        <v>0</v>
      </c>
      <c r="AC15" s="3">
        <f>IF($D15=200,Q15*$E15,IF($E15=200,Q15*$E15,0))</f>
        <v>0</v>
      </c>
      <c r="AD15" s="3">
        <f t="shared" si="6"/>
        <v>0</v>
      </c>
      <c r="AE15" s="3">
        <f>IF($B15=300,H15*$C15,IF($D15=300,H15*$E15,0))</f>
        <v>0</v>
      </c>
      <c r="AF15" s="3">
        <f t="shared" si="7"/>
        <v>0</v>
      </c>
      <c r="AG15" s="3">
        <f>IF($B15=300,M15*$C15,IF($D15=300,M15*$E15,0))</f>
        <v>0</v>
      </c>
      <c r="AH15" s="3">
        <f>IF($B15=300,N15*$C15,IF($D15=300,N15*$E15,0))</f>
        <v>0</v>
      </c>
      <c r="AI15" s="3">
        <f t="shared" si="37"/>
        <v>0</v>
      </c>
      <c r="AJ15" s="3">
        <f t="shared" si="9"/>
        <v>0</v>
      </c>
      <c r="AK15" s="3">
        <f t="shared" si="10"/>
        <v>0</v>
      </c>
      <c r="AL15" s="3">
        <f>IF($B15=710,M15*$C15,IF($D15=710,M15*$E15,0))</f>
        <v>0</v>
      </c>
      <c r="AM15" s="3">
        <f>IF($B15=710,N15*$C15,IF($D15=710,N15*$E15,0))</f>
        <v>0</v>
      </c>
      <c r="AN15" s="3">
        <f t="shared" si="38"/>
        <v>0</v>
      </c>
      <c r="AO15" s="3">
        <f t="shared" si="12"/>
        <v>0</v>
      </c>
      <c r="AP15" s="3">
        <f t="shared" si="39"/>
        <v>0</v>
      </c>
      <c r="AQ15" s="3">
        <f t="shared" si="13"/>
        <v>0</v>
      </c>
      <c r="AR15" s="3">
        <v>0</v>
      </c>
      <c r="AS15" s="3">
        <f>IF($B15=720,N15*$C15,IF($D15=720,N15*$E15,0))</f>
        <v>0</v>
      </c>
      <c r="AT15" s="3">
        <f t="shared" si="40"/>
        <v>0</v>
      </c>
      <c r="AU15" s="3">
        <f t="shared" si="30"/>
        <v>10120.032</v>
      </c>
      <c r="AV15" s="3">
        <f t="shared" si="41"/>
        <v>0</v>
      </c>
      <c r="AW15" s="3">
        <f t="shared" si="31"/>
        <v>187.22059199999998</v>
      </c>
      <c r="AX15" s="3">
        <v>0</v>
      </c>
      <c r="AY15" s="3">
        <v>0</v>
      </c>
      <c r="AZ15" s="3">
        <f t="shared" si="42"/>
        <v>354.20111999999995</v>
      </c>
      <c r="BA15" s="3">
        <f t="shared" si="32"/>
        <v>0</v>
      </c>
      <c r="BB15" s="3">
        <v>0</v>
      </c>
      <c r="BC15" s="3">
        <f t="shared" si="33"/>
        <v>0</v>
      </c>
      <c r="BD15" s="3">
        <v>0</v>
      </c>
      <c r="BE15" s="3">
        <f>IF($B15=740,N15*$C15,IF($D15=740,N15*$E15,0))</f>
        <v>0</v>
      </c>
      <c r="BF15" s="3">
        <f t="shared" si="43"/>
        <v>0</v>
      </c>
      <c r="BG15" s="3">
        <f>IF($B15=740,$G15*$C15,IF($D15=740,$G15*$E15,0))</f>
        <v>0</v>
      </c>
      <c r="BH15" s="3">
        <v>0</v>
      </c>
      <c r="BI15" s="3">
        <f>IF($B15=740,$L15*$C15,IF($D15=740,$L15*$E15,0))</f>
        <v>0</v>
      </c>
      <c r="BJ15" s="3">
        <f>IF($B15=740,S15*$C15,IF($D15=740,S15*$E15,0))</f>
        <v>0</v>
      </c>
      <c r="BK15" s="3">
        <f>IF($B15=740,T15*$C15,IF($D15=740,T15*$E15,0))</f>
        <v>0</v>
      </c>
      <c r="BL15" s="3">
        <f t="shared" si="44"/>
        <v>0</v>
      </c>
    </row>
    <row r="16" spans="1:64" ht="12" customHeight="1">
      <c r="A16" s="4" t="s">
        <v>252</v>
      </c>
      <c r="B16" s="5">
        <v>200</v>
      </c>
      <c r="C16" s="5">
        <v>1</v>
      </c>
      <c r="D16" s="5">
        <v>200</v>
      </c>
      <c r="E16" s="5">
        <v>0</v>
      </c>
      <c r="F16" s="214"/>
      <c r="G16" s="3">
        <v>89318.53</v>
      </c>
      <c r="H16" s="3"/>
      <c r="I16" s="185">
        <f>(G16)*0.04</f>
        <v>3572.7412</v>
      </c>
      <c r="J16" s="3">
        <f>G16+I16</f>
        <v>92891.2712</v>
      </c>
      <c r="K16" s="48" t="s">
        <v>65</v>
      </c>
      <c r="L16" s="3">
        <f t="shared" si="36"/>
        <v>1718.4885172</v>
      </c>
      <c r="M16" s="3">
        <f>J16*$M$5</f>
        <v>12633.212883200002</v>
      </c>
      <c r="N16" s="185">
        <f t="shared" si="45"/>
        <v>19713</v>
      </c>
      <c r="O16" s="185">
        <f t="shared" si="19"/>
        <v>6571</v>
      </c>
      <c r="P16" s="210">
        <v>26284</v>
      </c>
      <c r="Q16" s="188">
        <f t="shared" si="20"/>
        <v>3126.14855</v>
      </c>
      <c r="R16" s="3">
        <f t="shared" si="2"/>
        <v>0</v>
      </c>
      <c r="S16" s="3"/>
      <c r="T16" s="3">
        <f t="shared" si="3"/>
        <v>0</v>
      </c>
      <c r="U16" s="3">
        <v>0</v>
      </c>
      <c r="V16" s="3">
        <f>SUM(N16)</f>
        <v>19713</v>
      </c>
      <c r="W16" s="3">
        <f t="shared" si="21"/>
        <v>0</v>
      </c>
      <c r="X16" s="3">
        <f t="shared" si="22"/>
        <v>92891.2712</v>
      </c>
      <c r="Y16" s="3">
        <f t="shared" si="23"/>
        <v>3572.7412</v>
      </c>
      <c r="Z16" s="3">
        <f t="shared" si="4"/>
        <v>1718.4885172</v>
      </c>
      <c r="AA16" s="3">
        <f t="shared" si="35"/>
        <v>12633.212883200002</v>
      </c>
      <c r="AB16" s="3">
        <v>0</v>
      </c>
      <c r="AC16" s="3">
        <f>IF($B16=200,Q16*$C16,IF($C16=200,Q16*$E16,0))</f>
        <v>3126.14855</v>
      </c>
      <c r="AD16" s="3">
        <f t="shared" si="6"/>
        <v>0</v>
      </c>
      <c r="AE16" s="3">
        <f t="shared" si="24"/>
        <v>0</v>
      </c>
      <c r="AF16" s="3">
        <f t="shared" si="7"/>
        <v>0</v>
      </c>
      <c r="AG16" s="3">
        <f t="shared" si="25"/>
        <v>0</v>
      </c>
      <c r="AH16" s="3">
        <f t="shared" si="25"/>
        <v>0</v>
      </c>
      <c r="AI16" s="3">
        <f t="shared" si="37"/>
        <v>0</v>
      </c>
      <c r="AJ16" s="3">
        <f t="shared" si="9"/>
        <v>0</v>
      </c>
      <c r="AK16" s="3">
        <f t="shared" si="10"/>
        <v>0</v>
      </c>
      <c r="AL16" s="3">
        <f t="shared" si="26"/>
        <v>0</v>
      </c>
      <c r="AM16" s="3">
        <f t="shared" si="26"/>
        <v>0</v>
      </c>
      <c r="AN16" s="3">
        <f t="shared" si="38"/>
        <v>0</v>
      </c>
      <c r="AO16" s="3">
        <f t="shared" si="12"/>
        <v>0</v>
      </c>
      <c r="AP16" s="3">
        <f t="shared" si="39"/>
        <v>0</v>
      </c>
      <c r="AQ16" s="3">
        <f t="shared" si="13"/>
        <v>0</v>
      </c>
      <c r="AR16" s="3">
        <v>0</v>
      </c>
      <c r="AS16" s="3">
        <v>0</v>
      </c>
      <c r="AT16" s="3">
        <f t="shared" si="40"/>
        <v>0</v>
      </c>
      <c r="AU16" s="3">
        <f t="shared" si="30"/>
        <v>0</v>
      </c>
      <c r="AV16" s="3">
        <f t="shared" si="41"/>
        <v>0</v>
      </c>
      <c r="AW16" s="3">
        <f t="shared" si="31"/>
        <v>0</v>
      </c>
      <c r="AX16" s="3">
        <v>0</v>
      </c>
      <c r="AY16" s="3">
        <v>0</v>
      </c>
      <c r="AZ16" s="3">
        <f t="shared" si="42"/>
        <v>0</v>
      </c>
      <c r="BA16" s="3">
        <f t="shared" si="32"/>
        <v>0</v>
      </c>
      <c r="BB16" s="3">
        <f>IF($B16=740,H16*$C16,IF($D16=740,H16*$E16,0))</f>
        <v>0</v>
      </c>
      <c r="BC16" s="3">
        <f t="shared" si="33"/>
        <v>0</v>
      </c>
      <c r="BD16" s="3">
        <v>0</v>
      </c>
      <c r="BE16" s="3">
        <v>0</v>
      </c>
      <c r="BF16" s="3">
        <f t="shared" si="43"/>
        <v>0</v>
      </c>
      <c r="BG16" s="3">
        <f>IF($B16=750,$G16*$C16,IF($D16=750,$G16*$E16,0))</f>
        <v>0</v>
      </c>
      <c r="BH16" s="3">
        <f>IF($B16=750,N16*$C16,IF($D16=750,N16*$E16,0))</f>
        <v>0</v>
      </c>
      <c r="BI16" s="3">
        <f>IF($B16=750,$L16*$C16,IF($D16=750,$L16*$E16,0))</f>
        <v>0</v>
      </c>
      <c r="BJ16" s="3">
        <v>0</v>
      </c>
      <c r="BK16" s="3">
        <v>0</v>
      </c>
      <c r="BL16" s="3">
        <f t="shared" si="44"/>
        <v>0</v>
      </c>
    </row>
    <row r="17" spans="1:64" ht="12" customHeight="1">
      <c r="A17" s="4" t="s">
        <v>172</v>
      </c>
      <c r="B17" s="5">
        <v>200</v>
      </c>
      <c r="C17" s="5">
        <v>1</v>
      </c>
      <c r="D17" s="5">
        <v>200</v>
      </c>
      <c r="E17" s="5">
        <v>0</v>
      </c>
      <c r="F17" s="214"/>
      <c r="G17" s="3">
        <v>66289.6</v>
      </c>
      <c r="H17" s="3"/>
      <c r="I17" s="185">
        <f>(G17)*0.01</f>
        <v>662.8960000000001</v>
      </c>
      <c r="J17" s="3">
        <f>G17+I17</f>
        <v>66952.496</v>
      </c>
      <c r="K17" s="48" t="s">
        <v>65</v>
      </c>
      <c r="L17" s="176">
        <f t="shared" si="36"/>
        <v>1238.6211759999999</v>
      </c>
      <c r="M17" s="3">
        <f>J17*$M$5</f>
        <v>9105.539456</v>
      </c>
      <c r="N17" s="185">
        <f t="shared" si="45"/>
        <v>9563.25</v>
      </c>
      <c r="O17" s="185">
        <f>P17*0.25</f>
        <v>3187.75</v>
      </c>
      <c r="P17" s="210">
        <v>12751</v>
      </c>
      <c r="Q17" s="188">
        <f>G17*((5*$Q$5))/100</f>
        <v>2320.1360000000004</v>
      </c>
      <c r="R17" s="3">
        <f t="shared" si="2"/>
        <v>0</v>
      </c>
      <c r="S17" s="3"/>
      <c r="T17" s="3">
        <v>0</v>
      </c>
      <c r="U17" s="3">
        <v>0</v>
      </c>
      <c r="V17" s="3">
        <f>SUM(N17)</f>
        <v>9563.25</v>
      </c>
      <c r="W17" s="3">
        <f>IF($B17=100,Q17*$C17,IF($C17=100,Q17*$E17,0))</f>
        <v>0</v>
      </c>
      <c r="X17" s="3">
        <f t="shared" si="22"/>
        <v>66952.496</v>
      </c>
      <c r="Y17" s="3">
        <f t="shared" si="23"/>
        <v>662.8960000000001</v>
      </c>
      <c r="Z17" s="3">
        <f>IF($B17=100,$L17*$C17,IF($C17=100,$L17*$E17,0))</f>
        <v>0</v>
      </c>
      <c r="AA17" s="3">
        <f t="shared" si="35"/>
        <v>9105.539456</v>
      </c>
      <c r="AB17" s="3">
        <v>0</v>
      </c>
      <c r="AC17" s="3">
        <f>IF($D17=200,$L17*$E17,IF($D17=200,$L17*$E17,0))</f>
        <v>0</v>
      </c>
      <c r="AD17" s="3">
        <f t="shared" si="6"/>
        <v>0</v>
      </c>
      <c r="AE17" s="3">
        <f>IF($B17=300,H17*$C17,IF($D17=300,H17*$E17,0))</f>
        <v>0</v>
      </c>
      <c r="AF17" s="3">
        <f t="shared" si="7"/>
        <v>0</v>
      </c>
      <c r="AG17" s="3">
        <f aca="true" t="shared" si="46" ref="AG17:AH20">IF($B17=300,M17*$C17,IF($D17=300,M17*$E17,0))</f>
        <v>0</v>
      </c>
      <c r="AH17" s="3">
        <f t="shared" si="46"/>
        <v>0</v>
      </c>
      <c r="AI17" s="3">
        <f t="shared" si="37"/>
        <v>0</v>
      </c>
      <c r="AJ17" s="3">
        <f t="shared" si="9"/>
        <v>0</v>
      </c>
      <c r="AK17" s="3">
        <f t="shared" si="10"/>
        <v>0</v>
      </c>
      <c r="AL17" s="3">
        <f aca="true" t="shared" si="47" ref="AL17:AM20">IF($B17=710,M17*$C17,IF($D17=710,M17*$E17,0))</f>
        <v>0</v>
      </c>
      <c r="AM17" s="3">
        <f t="shared" si="47"/>
        <v>0</v>
      </c>
      <c r="AN17" s="3">
        <f t="shared" si="38"/>
        <v>0</v>
      </c>
      <c r="AO17" s="3">
        <f t="shared" si="12"/>
        <v>0</v>
      </c>
      <c r="AP17" s="3">
        <f t="shared" si="39"/>
        <v>0</v>
      </c>
      <c r="AQ17" s="3">
        <f t="shared" si="13"/>
        <v>0</v>
      </c>
      <c r="AR17" s="3">
        <v>0</v>
      </c>
      <c r="AS17" s="3">
        <v>0</v>
      </c>
      <c r="AT17" s="3">
        <f t="shared" si="40"/>
        <v>0</v>
      </c>
      <c r="AU17" s="3">
        <f t="shared" si="30"/>
        <v>0</v>
      </c>
      <c r="AV17" s="3">
        <f t="shared" si="41"/>
        <v>0</v>
      </c>
      <c r="AW17" s="3">
        <f t="shared" si="31"/>
        <v>0</v>
      </c>
      <c r="AX17" s="3">
        <v>0</v>
      </c>
      <c r="AY17" s="3">
        <v>0</v>
      </c>
      <c r="AZ17" s="3">
        <f t="shared" si="42"/>
        <v>0</v>
      </c>
      <c r="BA17" s="3">
        <f t="shared" si="32"/>
        <v>0</v>
      </c>
      <c r="BB17" s="3">
        <f>IF($B17=740,H17*$C17,IF($D17=740,H17*$E17,0))</f>
        <v>0</v>
      </c>
      <c r="BC17" s="3">
        <f t="shared" si="33"/>
        <v>0</v>
      </c>
      <c r="BD17" s="3">
        <v>0</v>
      </c>
      <c r="BE17" s="3">
        <v>0</v>
      </c>
      <c r="BF17" s="3">
        <f t="shared" si="43"/>
        <v>0</v>
      </c>
      <c r="BG17" s="3">
        <v>0</v>
      </c>
      <c r="BH17" s="3">
        <v>0</v>
      </c>
      <c r="BI17" s="3">
        <v>0</v>
      </c>
      <c r="BJ17" s="3">
        <f aca="true" t="shared" si="48" ref="BJ17:BK20">IF($B17=740,S17*$C17,IF($D17=740,S17*$E17,0))</f>
        <v>0</v>
      </c>
      <c r="BK17" s="3">
        <f t="shared" si="48"/>
        <v>0</v>
      </c>
      <c r="BL17" s="3">
        <f t="shared" si="44"/>
        <v>0</v>
      </c>
    </row>
    <row r="18" spans="1:64" ht="12" customHeight="1">
      <c r="A18" s="4" t="s">
        <v>174</v>
      </c>
      <c r="B18" s="5">
        <v>200</v>
      </c>
      <c r="C18" s="5">
        <v>0.59</v>
      </c>
      <c r="D18" s="5">
        <v>720</v>
      </c>
      <c r="E18" s="5">
        <v>0.41</v>
      </c>
      <c r="F18" s="214"/>
      <c r="G18" s="3">
        <v>61878.96</v>
      </c>
      <c r="H18" s="3"/>
      <c r="I18" s="185">
        <f>(G18)*0.01</f>
        <v>618.7896</v>
      </c>
      <c r="J18" s="3">
        <f>G18+I18</f>
        <v>62497.749599999996</v>
      </c>
      <c r="K18" s="48" t="s">
        <v>65</v>
      </c>
      <c r="L18" s="176">
        <f t="shared" si="36"/>
        <v>1156.2083675999997</v>
      </c>
      <c r="M18" s="3">
        <f>J18*$M$5</f>
        <v>8499.6939456</v>
      </c>
      <c r="N18" s="185">
        <f t="shared" si="45"/>
        <v>11699.25</v>
      </c>
      <c r="O18" s="185">
        <f>P18*0.25</f>
        <v>3899.75</v>
      </c>
      <c r="P18" s="210">
        <v>15599</v>
      </c>
      <c r="Q18" s="188">
        <f t="shared" si="20"/>
        <v>2165.7635999999998</v>
      </c>
      <c r="R18" s="3">
        <f t="shared" si="2"/>
        <v>0</v>
      </c>
      <c r="S18" s="3"/>
      <c r="T18" s="3">
        <f t="shared" si="3"/>
        <v>0</v>
      </c>
      <c r="U18" s="3">
        <v>0</v>
      </c>
      <c r="V18" s="3">
        <f>N18</f>
        <v>11699.25</v>
      </c>
      <c r="W18" s="3">
        <f>IF($B18=100,Q18*$C18,IF($C18=100,Q18*$E18,0))</f>
        <v>0</v>
      </c>
      <c r="X18" s="3">
        <f t="shared" si="22"/>
        <v>36873.67226399999</v>
      </c>
      <c r="Y18" s="3">
        <f t="shared" si="23"/>
        <v>618.7896</v>
      </c>
      <c r="Z18" s="3">
        <f t="shared" si="4"/>
        <v>682.1629368839998</v>
      </c>
      <c r="AA18" s="3">
        <v>0</v>
      </c>
      <c r="AB18" s="3">
        <v>0</v>
      </c>
      <c r="AC18" s="3">
        <f>IF($B18=200,Q18*$C18,IF($C18=200,Q18*$E18,0))</f>
        <v>1277.8005239999998</v>
      </c>
      <c r="AD18" s="3">
        <f t="shared" si="6"/>
        <v>0</v>
      </c>
      <c r="AE18" s="3">
        <f>IF($B18=300,H18*$C18,IF($D18=300,H18*$E18,0))</f>
        <v>0</v>
      </c>
      <c r="AF18" s="3">
        <f t="shared" si="7"/>
        <v>0</v>
      </c>
      <c r="AG18" s="3">
        <f t="shared" si="46"/>
        <v>0</v>
      </c>
      <c r="AH18" s="3">
        <f t="shared" si="46"/>
        <v>0</v>
      </c>
      <c r="AI18" s="3">
        <f t="shared" si="37"/>
        <v>0</v>
      </c>
      <c r="AJ18" s="3">
        <f t="shared" si="9"/>
        <v>0</v>
      </c>
      <c r="AK18" s="3">
        <f t="shared" si="10"/>
        <v>0</v>
      </c>
      <c r="AL18" s="3">
        <f t="shared" si="47"/>
        <v>0</v>
      </c>
      <c r="AM18" s="3">
        <f t="shared" si="47"/>
        <v>0</v>
      </c>
      <c r="AN18" s="3">
        <f t="shared" si="38"/>
        <v>0</v>
      </c>
      <c r="AO18" s="3">
        <f t="shared" si="12"/>
        <v>25370.3736</v>
      </c>
      <c r="AP18" s="3">
        <f t="shared" si="39"/>
        <v>0</v>
      </c>
      <c r="AQ18" s="3">
        <f t="shared" si="13"/>
        <v>474.0454307159999</v>
      </c>
      <c r="AR18" s="3">
        <v>0</v>
      </c>
      <c r="AS18" s="3">
        <v>0</v>
      </c>
      <c r="AT18" s="3">
        <f t="shared" si="40"/>
        <v>887.9630759999999</v>
      </c>
      <c r="AU18" s="3">
        <f t="shared" si="30"/>
        <v>0</v>
      </c>
      <c r="AV18" s="3">
        <f t="shared" si="41"/>
        <v>0</v>
      </c>
      <c r="AW18" s="3">
        <f t="shared" si="31"/>
        <v>0</v>
      </c>
      <c r="AX18" s="3">
        <f aca="true" t="shared" si="49" ref="AX18:AY20">IF($B18=730,M18*$C18,IF($D18=730,M18*$E18,0))</f>
        <v>0</v>
      </c>
      <c r="AY18" s="3">
        <f t="shared" si="49"/>
        <v>0</v>
      </c>
      <c r="AZ18" s="3">
        <f t="shared" si="42"/>
        <v>0</v>
      </c>
      <c r="BA18" s="3">
        <f t="shared" si="32"/>
        <v>0</v>
      </c>
      <c r="BB18" s="3">
        <f>IF($B18=740,H18*$C18,IF($D18=740,H18*$E18,0))</f>
        <v>0</v>
      </c>
      <c r="BC18" s="3">
        <f t="shared" si="33"/>
        <v>0</v>
      </c>
      <c r="BD18" s="3">
        <v>0</v>
      </c>
      <c r="BE18" s="3">
        <v>0</v>
      </c>
      <c r="BF18" s="3">
        <f t="shared" si="43"/>
        <v>0</v>
      </c>
      <c r="BG18" s="3">
        <f>IF($B18=750,$G18*$C18,IF($D18=750,$G18*$E18,0))</f>
        <v>0</v>
      </c>
      <c r="BH18" s="3">
        <v>0</v>
      </c>
      <c r="BI18" s="3">
        <f>IF($B18=750,$L18*$C18,IF($D18=750,$L18*$E18,0))</f>
        <v>0</v>
      </c>
      <c r="BJ18" s="3">
        <f t="shared" si="48"/>
        <v>0</v>
      </c>
      <c r="BK18" s="3">
        <f t="shared" si="48"/>
        <v>0</v>
      </c>
      <c r="BL18" s="3">
        <f t="shared" si="44"/>
        <v>0</v>
      </c>
    </row>
    <row r="19" spans="1:70" ht="12" customHeight="1">
      <c r="A19" s="4" t="s">
        <v>170</v>
      </c>
      <c r="B19" s="5">
        <v>200</v>
      </c>
      <c r="C19" s="5">
        <v>0.59</v>
      </c>
      <c r="D19" s="5">
        <v>720</v>
      </c>
      <c r="E19" s="5">
        <v>0.41</v>
      </c>
      <c r="F19" s="214"/>
      <c r="G19" s="3">
        <v>23000</v>
      </c>
      <c r="H19" s="3"/>
      <c r="I19" s="185">
        <v>0</v>
      </c>
      <c r="J19" s="3">
        <f>G19</f>
        <v>23000</v>
      </c>
      <c r="K19" s="48" t="s">
        <v>65</v>
      </c>
      <c r="L19" s="176">
        <f t="shared" si="36"/>
        <v>425.5</v>
      </c>
      <c r="M19" s="3">
        <v>0</v>
      </c>
      <c r="N19" s="185">
        <f t="shared" si="45"/>
        <v>0</v>
      </c>
      <c r="O19" s="185"/>
      <c r="P19" s="210"/>
      <c r="Q19" s="188">
        <f>G19*((5*$Q$5))/100</f>
        <v>805</v>
      </c>
      <c r="R19" s="3">
        <f t="shared" si="2"/>
        <v>0</v>
      </c>
      <c r="S19" s="3"/>
      <c r="T19" s="3">
        <f t="shared" si="3"/>
        <v>0</v>
      </c>
      <c r="U19" s="3">
        <v>0</v>
      </c>
      <c r="V19" s="3">
        <f>IF($B19=100,N19*$C19,IF($C19=100,N19*$E19,0))</f>
        <v>0</v>
      </c>
      <c r="W19" s="3">
        <f>IF($B19=100,Q19*$C19,IF($C19=100,Q19*$E19,0))</f>
        <v>0</v>
      </c>
      <c r="X19" s="3">
        <f t="shared" si="22"/>
        <v>13570</v>
      </c>
      <c r="Y19" s="3">
        <f>SUM(I19)</f>
        <v>0</v>
      </c>
      <c r="Z19" s="3">
        <f t="shared" si="4"/>
        <v>251.045</v>
      </c>
      <c r="AA19" s="3">
        <v>0</v>
      </c>
      <c r="AB19" s="3">
        <f>IF($B19=200,N19*$C19,IF($C19=200,N19*$E19,0))</f>
        <v>0</v>
      </c>
      <c r="AC19" s="3">
        <f>IF($B19=200,Q19*$C19,IF($C19=200,Q19*$E19,0))</f>
        <v>474.95</v>
      </c>
      <c r="AD19" s="3">
        <f t="shared" si="6"/>
        <v>0</v>
      </c>
      <c r="AE19" s="3">
        <f>IF($B19=300,H19*$C19,IF($D19=300,H19*$E19,0))</f>
        <v>0</v>
      </c>
      <c r="AF19" s="3">
        <f t="shared" si="7"/>
        <v>0</v>
      </c>
      <c r="AG19" s="3">
        <f t="shared" si="46"/>
        <v>0</v>
      </c>
      <c r="AH19" s="3">
        <f t="shared" si="46"/>
        <v>0</v>
      </c>
      <c r="AI19" s="3">
        <f t="shared" si="37"/>
        <v>0</v>
      </c>
      <c r="AJ19" s="3">
        <f t="shared" si="9"/>
        <v>0</v>
      </c>
      <c r="AK19" s="3">
        <f t="shared" si="10"/>
        <v>0</v>
      </c>
      <c r="AL19" s="3">
        <f t="shared" si="47"/>
        <v>0</v>
      </c>
      <c r="AM19" s="3">
        <f t="shared" si="47"/>
        <v>0</v>
      </c>
      <c r="AN19" s="3">
        <f t="shared" si="38"/>
        <v>0</v>
      </c>
      <c r="AO19" s="3">
        <f>IF($B19=720,$G19*$C19,IF($D19=720,$G19*$E19,0))</f>
        <v>9430</v>
      </c>
      <c r="AP19" s="3">
        <f t="shared" si="39"/>
        <v>0</v>
      </c>
      <c r="AQ19" s="3">
        <f t="shared" si="13"/>
        <v>174.45499999999998</v>
      </c>
      <c r="AR19" s="3">
        <v>0</v>
      </c>
      <c r="AS19" s="3">
        <f>IF($B19=720,N19*$C19,IF($D19=720,N19*$E19,0))</f>
        <v>0</v>
      </c>
      <c r="AT19" s="3">
        <f t="shared" si="40"/>
        <v>330.04999999999995</v>
      </c>
      <c r="AU19" s="3">
        <f t="shared" si="30"/>
        <v>0</v>
      </c>
      <c r="AV19" s="3">
        <f t="shared" si="41"/>
        <v>0</v>
      </c>
      <c r="AW19" s="3">
        <f t="shared" si="31"/>
        <v>0</v>
      </c>
      <c r="AX19" s="3">
        <f t="shared" si="49"/>
        <v>0</v>
      </c>
      <c r="AY19" s="3">
        <f t="shared" si="49"/>
        <v>0</v>
      </c>
      <c r="AZ19" s="3">
        <f t="shared" si="42"/>
        <v>0</v>
      </c>
      <c r="BA19" s="3">
        <f t="shared" si="32"/>
        <v>0</v>
      </c>
      <c r="BB19" s="3">
        <f>IF($B19=740,H19*$C19,IF($D19=740,H19*$E19,0))</f>
        <v>0</v>
      </c>
      <c r="BC19" s="3">
        <f t="shared" si="33"/>
        <v>0</v>
      </c>
      <c r="BD19" s="3">
        <v>0</v>
      </c>
      <c r="BE19" s="3">
        <f>IF($B19=740,N19*$C19,IF($D19=740,N19*$E19,0))</f>
        <v>0</v>
      </c>
      <c r="BF19" s="3">
        <f t="shared" si="43"/>
        <v>0</v>
      </c>
      <c r="BG19" s="3">
        <f>IF($B19=750,$G19*$C19,IF($D19=750,$G19*$E19,0))</f>
        <v>0</v>
      </c>
      <c r="BH19" s="3">
        <f>IF($B19=740,N19*$C19,IF($D19=740,N19*$E19,0))</f>
        <v>0</v>
      </c>
      <c r="BI19" s="3">
        <f>IF($B19=750,$L19*$C19,IF($D19=750,$L19*$E19,0))</f>
        <v>0</v>
      </c>
      <c r="BJ19" s="3">
        <f t="shared" si="48"/>
        <v>0</v>
      </c>
      <c r="BK19" s="3">
        <f t="shared" si="48"/>
        <v>0</v>
      </c>
      <c r="BL19" s="3">
        <f t="shared" si="44"/>
        <v>0</v>
      </c>
      <c r="BM19" s="3">
        <f>IF($B19=760,$G19*$C19,IF($D19=760,$G19*$E19,0))</f>
        <v>0</v>
      </c>
      <c r="BN19" s="3">
        <f>IF($B19=740,T19*$C19,IF($D19=740,T19*$E19,0))</f>
        <v>0</v>
      </c>
      <c r="BO19" s="3">
        <f>IF($B19=760,$L19*$C19,IF($D19=760,$L19*$E19,0))</f>
        <v>0</v>
      </c>
      <c r="BP19" s="3">
        <f>IF($B19=760,Y19*$C19,IF($D19=760,Y19*$E19,0))</f>
        <v>0</v>
      </c>
      <c r="BQ19" s="3">
        <f>IF($B19=760,Z19*$C19,IF($D19=760,Z19*$E19,0))</f>
        <v>0</v>
      </c>
      <c r="BR19" s="3">
        <f>IF($B19=760,AC19*$C19,IF($D19=760,AC19*$E19,0))</f>
        <v>0</v>
      </c>
    </row>
    <row r="20" spans="1:70" ht="12" customHeight="1">
      <c r="A20" s="4" t="s">
        <v>171</v>
      </c>
      <c r="B20" s="224">
        <v>200</v>
      </c>
      <c r="C20" s="224">
        <v>1</v>
      </c>
      <c r="D20" s="224">
        <v>200</v>
      </c>
      <c r="E20" s="224">
        <v>0</v>
      </c>
      <c r="F20" s="214">
        <v>0</v>
      </c>
      <c r="G20" s="3">
        <f>SUM(I20:J20)</f>
        <v>0</v>
      </c>
      <c r="H20" s="3"/>
      <c r="I20" s="185">
        <v>0</v>
      </c>
      <c r="J20" s="3">
        <f>F20</f>
        <v>0</v>
      </c>
      <c r="K20" s="48" t="s">
        <v>65</v>
      </c>
      <c r="L20" s="176">
        <f t="shared" si="36"/>
        <v>0</v>
      </c>
      <c r="M20" s="3">
        <v>0</v>
      </c>
      <c r="N20" s="185">
        <f t="shared" si="45"/>
        <v>0</v>
      </c>
      <c r="O20" s="185"/>
      <c r="P20" s="210"/>
      <c r="Q20" s="188">
        <f>G20*((5*$Q$5))/100</f>
        <v>0</v>
      </c>
      <c r="R20" s="3">
        <f>IF($B200=100,$G20*$C20,IF($C20=100,$G20*$E20,0))</f>
        <v>0</v>
      </c>
      <c r="S20" s="3"/>
      <c r="T20" s="3">
        <f t="shared" si="3"/>
        <v>0</v>
      </c>
      <c r="U20" s="3">
        <v>0</v>
      </c>
      <c r="V20" s="3">
        <f>IF($B20=100,N20*$C20,IF($C20=100,N20*$E20,0))</f>
        <v>0</v>
      </c>
      <c r="W20" s="3">
        <f>IF($B20=100,Q20*$C20,IF($C20=100,Q20*$E20,0))</f>
        <v>0</v>
      </c>
      <c r="X20" s="3">
        <f t="shared" si="22"/>
        <v>0</v>
      </c>
      <c r="Y20" s="3">
        <f>SUM(I20)</f>
        <v>0</v>
      </c>
      <c r="Z20" s="3">
        <f t="shared" si="4"/>
        <v>0</v>
      </c>
      <c r="AA20" s="3">
        <v>0</v>
      </c>
      <c r="AB20" s="3">
        <v>0</v>
      </c>
      <c r="AC20" s="3">
        <f>IF($B20=200,Q20*$C20,IF($C20=200,Q20*$E20,0))</f>
        <v>0</v>
      </c>
      <c r="AD20" s="3">
        <f t="shared" si="6"/>
        <v>0</v>
      </c>
      <c r="AE20" s="3">
        <f>IF($B20=300,H20*$C20,IF($D20=300,H20*$E20,0))</f>
        <v>0</v>
      </c>
      <c r="AF20" s="3">
        <f t="shared" si="7"/>
        <v>0</v>
      </c>
      <c r="AG20" s="3">
        <f t="shared" si="46"/>
        <v>0</v>
      </c>
      <c r="AH20" s="3">
        <f t="shared" si="46"/>
        <v>0</v>
      </c>
      <c r="AI20" s="3">
        <f t="shared" si="37"/>
        <v>0</v>
      </c>
      <c r="AJ20" s="3">
        <f t="shared" si="9"/>
        <v>0</v>
      </c>
      <c r="AK20" s="3">
        <f t="shared" si="10"/>
        <v>0</v>
      </c>
      <c r="AL20" s="3">
        <f t="shared" si="47"/>
        <v>0</v>
      </c>
      <c r="AM20" s="3">
        <f t="shared" si="47"/>
        <v>0</v>
      </c>
      <c r="AN20" s="3">
        <f t="shared" si="38"/>
        <v>0</v>
      </c>
      <c r="AO20" s="3">
        <f t="shared" si="12"/>
        <v>0</v>
      </c>
      <c r="AP20" s="3">
        <f t="shared" si="39"/>
        <v>0</v>
      </c>
      <c r="AQ20" s="3">
        <f t="shared" si="13"/>
        <v>0</v>
      </c>
      <c r="AR20" s="3">
        <f>IF($B20=720,M20*$C20,IF($D20=720,M20*$E20,0))</f>
        <v>0</v>
      </c>
      <c r="AS20" s="3">
        <f>IF($B20=720,N20*$C20,IF($D20=720,N20*$E20,0))</f>
        <v>0</v>
      </c>
      <c r="AT20" s="3">
        <f t="shared" si="40"/>
        <v>0</v>
      </c>
      <c r="AU20" s="3">
        <f t="shared" si="30"/>
        <v>0</v>
      </c>
      <c r="AV20" s="3">
        <f t="shared" si="41"/>
        <v>0</v>
      </c>
      <c r="AW20" s="3">
        <f t="shared" si="31"/>
        <v>0</v>
      </c>
      <c r="AX20" s="3">
        <f t="shared" si="49"/>
        <v>0</v>
      </c>
      <c r="AY20" s="3">
        <f t="shared" si="49"/>
        <v>0</v>
      </c>
      <c r="AZ20" s="3">
        <f t="shared" si="42"/>
        <v>0</v>
      </c>
      <c r="BA20" s="3">
        <f t="shared" si="32"/>
        <v>0</v>
      </c>
      <c r="BB20" s="3">
        <f>IF($B20=740,H20*$C20,IF($D20=740,H20*$E20,0))</f>
        <v>0</v>
      </c>
      <c r="BC20" s="3">
        <f t="shared" si="33"/>
        <v>0</v>
      </c>
      <c r="BD20" s="3">
        <f>IF($B20=740,M20*$C20,IF($D20=740,M20*$E20,0))</f>
        <v>0</v>
      </c>
      <c r="BE20" s="3">
        <f>IF($B20=740,N20*$C20,IF($D20=740,N20*$E20,0))</f>
        <v>0</v>
      </c>
      <c r="BF20" s="3">
        <f t="shared" si="43"/>
        <v>0</v>
      </c>
      <c r="BG20" s="3">
        <f>IF($B20=750,$G20*$C20,IF($D20=750,$G20*$E20,0))</f>
        <v>0</v>
      </c>
      <c r="BH20" s="3">
        <f>IF($B20=740,N20*$C20,IF($D20=740,N20*$E20,0))</f>
        <v>0</v>
      </c>
      <c r="BI20" s="3">
        <f>IF($B20=750,$L20*$C20,IF($D20=750,$L20*$E20,0))</f>
        <v>0</v>
      </c>
      <c r="BJ20" s="3">
        <f t="shared" si="48"/>
        <v>0</v>
      </c>
      <c r="BK20" s="3">
        <f t="shared" si="48"/>
        <v>0</v>
      </c>
      <c r="BL20" s="3">
        <f t="shared" si="44"/>
        <v>0</v>
      </c>
      <c r="BM20" s="3">
        <f>IF($B20=760,$G20*$C20,IF($D20=760,$G20*$E20,0))</f>
        <v>0</v>
      </c>
      <c r="BN20" s="3">
        <f>IF($B20=740,T20*$C20,IF($D20=740,T20*$E20,0))</f>
        <v>0</v>
      </c>
      <c r="BO20" s="3">
        <f>IF($B20=760,$L20*$C20,IF($D20=760,$L20*$E20,0))</f>
        <v>0</v>
      </c>
      <c r="BP20" s="3">
        <f>IF($B20=760,Y20*$C20,IF($D20=760,Y20*$E20,0))</f>
        <v>0</v>
      </c>
      <c r="BQ20" s="3">
        <f>IF($B20=760,Z20*$C20,IF($D20=760,Z20*$E20,0))</f>
        <v>0</v>
      </c>
      <c r="BR20" s="3">
        <f>IF($B20=760,AC20*$C20,IF($D20=760,AC20*$E20,0))</f>
        <v>0</v>
      </c>
    </row>
    <row r="21" spans="1:64" ht="12" customHeight="1">
      <c r="A21" s="5" t="s">
        <v>63</v>
      </c>
      <c r="F21" s="214"/>
      <c r="G21" s="3"/>
      <c r="H21" s="3"/>
      <c r="I21" s="185"/>
      <c r="J21" s="3">
        <f>F21</f>
        <v>0</v>
      </c>
      <c r="K21" s="48"/>
      <c r="L21" s="3"/>
      <c r="M21" s="3">
        <f t="shared" si="34"/>
        <v>0</v>
      </c>
      <c r="N21" s="185"/>
      <c r="O21" s="185"/>
      <c r="P21" s="210"/>
      <c r="Q21" s="188">
        <f t="shared" si="20"/>
        <v>0</v>
      </c>
      <c r="R21" s="3"/>
      <c r="S21" s="3"/>
      <c r="T21" s="3"/>
      <c r="U21" s="3">
        <v>0</v>
      </c>
      <c r="V21" s="3"/>
      <c r="W21" s="3"/>
      <c r="X21" s="3">
        <f t="shared" si="22"/>
        <v>0</v>
      </c>
      <c r="Y21" s="3"/>
      <c r="Z21" s="3"/>
      <c r="AA21" s="3">
        <f>P21*$M$5</f>
        <v>0</v>
      </c>
      <c r="AB21" s="3">
        <v>0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ht="12" customHeight="1">
      <c r="A22" s="4" t="s">
        <v>99</v>
      </c>
      <c r="B22" s="5">
        <v>100</v>
      </c>
      <c r="C22" s="5">
        <v>1</v>
      </c>
      <c r="F22" s="214"/>
      <c r="G22" s="3">
        <v>0</v>
      </c>
      <c r="H22" s="3"/>
      <c r="I22" s="209"/>
      <c r="J22" s="3">
        <f>F22</f>
        <v>0</v>
      </c>
      <c r="K22" s="5" t="s">
        <v>65</v>
      </c>
      <c r="L22" s="3">
        <f>IF(K22="o",(G22+H22+I22)*$L$2,(G22+H22+I22)*$L$3)</f>
        <v>0</v>
      </c>
      <c r="M22" s="3">
        <f t="shared" si="34"/>
        <v>0</v>
      </c>
      <c r="N22" s="185">
        <f>P22-O22</f>
        <v>0</v>
      </c>
      <c r="O22" s="185">
        <f aca="true" t="shared" si="50" ref="O22:O27">P22*0.25</f>
        <v>0</v>
      </c>
      <c r="P22" s="210"/>
      <c r="Q22" s="188">
        <f t="shared" si="20"/>
        <v>0</v>
      </c>
      <c r="R22" s="3">
        <f t="shared" si="2"/>
        <v>0</v>
      </c>
      <c r="S22" s="3">
        <f>IF($B22=100,H22*$C22,IF($C22=100,H22*$E22,0))</f>
        <v>0</v>
      </c>
      <c r="T22" s="3">
        <v>0</v>
      </c>
      <c r="U22" s="3">
        <v>0</v>
      </c>
      <c r="V22" s="3">
        <f>IF($B22=100,N22*$C22,IF($C22=100,N22*$E22,0))</f>
        <v>0</v>
      </c>
      <c r="W22" s="3">
        <f>IF($B22=100,Q22*$C22,IF($C22=100,Q22*$E22,0))</f>
        <v>0</v>
      </c>
      <c r="X22" s="3">
        <f t="shared" si="22"/>
        <v>0</v>
      </c>
      <c r="Y22" s="3"/>
      <c r="Z22" s="3">
        <f t="shared" si="4"/>
        <v>0</v>
      </c>
      <c r="AA22" s="3">
        <f>J22*$M$5</f>
        <v>0</v>
      </c>
      <c r="AB22" s="3">
        <v>0</v>
      </c>
      <c r="AC22" s="3">
        <f>IF($B22=200,Q22*$C22,IF($C22=200,Q22*$E22,0))</f>
        <v>0</v>
      </c>
      <c r="AD22" s="3">
        <f>IF($B22=300,$G24*$C22,IF($D22=300,$G24*$E22,0))</f>
        <v>0</v>
      </c>
      <c r="AE22" s="3">
        <f t="shared" si="24"/>
        <v>0</v>
      </c>
      <c r="AF22" s="3">
        <f t="shared" si="7"/>
        <v>0</v>
      </c>
      <c r="AG22" s="3">
        <f t="shared" si="25"/>
        <v>0</v>
      </c>
      <c r="AH22" s="3">
        <f t="shared" si="25"/>
        <v>0</v>
      </c>
      <c r="AI22" s="3">
        <f>IF($B22=300,Q22*$C22,IF($D22=300,Q22*$E22,0))</f>
        <v>0</v>
      </c>
      <c r="AJ22" s="3">
        <f>IF($B22=710,$G24*$C22,IF($D22=710,$G24*$E22,0))</f>
        <v>0</v>
      </c>
      <c r="AK22" s="3">
        <f t="shared" si="10"/>
        <v>0</v>
      </c>
      <c r="AL22" s="3">
        <f t="shared" si="26"/>
        <v>0</v>
      </c>
      <c r="AM22" s="3">
        <f t="shared" si="26"/>
        <v>0</v>
      </c>
      <c r="AN22" s="3">
        <f>IF($B22=710,Q22*$C22,IF($D22=710,Q22*$E22,0))</f>
        <v>0</v>
      </c>
      <c r="AO22" s="3">
        <f>IF($B22=720,$G24*$C22,IF($D22=720,$G24*$E22,0))</f>
        <v>0</v>
      </c>
      <c r="AP22" s="3">
        <f aca="true" t="shared" si="51" ref="AP22:AP28">IF($B22=720,H22*$C22,IF($D22=720,H22*$E22,0))</f>
        <v>0</v>
      </c>
      <c r="AQ22" s="3">
        <f t="shared" si="13"/>
        <v>0</v>
      </c>
      <c r="AR22" s="3">
        <f>IF($B22=720,M22*$C22,IF($D22=720,M22*$E22,0))</f>
        <v>0</v>
      </c>
      <c r="AS22" s="3">
        <f>IF($B22=720,N22*$C22,IF($D22=720,N22*$E22,0))</f>
        <v>0</v>
      </c>
      <c r="AT22" s="3">
        <f>IF($B22=720,Q22*$C22,IF($D22=720,Q22*$E22,0))</f>
        <v>0</v>
      </c>
      <c r="AU22" s="3">
        <f>IF($B22=730,$G24*$C22,IF($D22=730,$G24*$E22,0))</f>
        <v>0</v>
      </c>
      <c r="AV22" s="3">
        <f aca="true" t="shared" si="52" ref="AV22:AV28">IF($B22=730,H22*$C22,IF($D22=730,H22*$E22,0))</f>
        <v>0</v>
      </c>
      <c r="AW22" s="3">
        <f t="shared" si="31"/>
        <v>0</v>
      </c>
      <c r="AX22" s="3">
        <f>IF($B22=730,M22*$C22,IF($D22=730,M22*$E22,0))</f>
        <v>0</v>
      </c>
      <c r="AY22" s="3">
        <f>IF($B22=730,N22*$C22,IF($D22=730,N22*$E22,0))</f>
        <v>0</v>
      </c>
      <c r="AZ22" s="3">
        <f>IF($B22=730,Q22*$C22,IF($D22=730,Q22*$E22,0))</f>
        <v>0</v>
      </c>
      <c r="BA22" s="3">
        <f>IF($B22=740,$G24*$C22,IF($D22=740,$G24*$E22,0))</f>
        <v>0</v>
      </c>
      <c r="BB22" s="3">
        <f aca="true" t="shared" si="53" ref="BB22:BB28">IF($B22=740,H22*$C22,IF($D22=740,H22*$E22,0))</f>
        <v>0</v>
      </c>
      <c r="BC22" s="3">
        <f t="shared" si="33"/>
        <v>0</v>
      </c>
      <c r="BD22" s="3">
        <f>IF($B22=740,M22*$C22,IF($D22=740,M22*$E22,0))</f>
        <v>0</v>
      </c>
      <c r="BE22" s="3">
        <f>IF($B22=740,N22*$C22,IF($D22=740,N22*$E22,0))</f>
        <v>0</v>
      </c>
      <c r="BF22" s="3">
        <f>IF($B22=740,Q22*$C22,IF($D22=740,Q22*$E22,0))</f>
        <v>0</v>
      </c>
      <c r="BG22" s="3">
        <f>IF($B22=740,$G24*$C22,IF($D22=740,$G24*$E22,0))</f>
        <v>0</v>
      </c>
      <c r="BH22" s="3">
        <f>IF($B22=740,N22*$C22,IF($D22=740,N22*$E22,0))</f>
        <v>0</v>
      </c>
      <c r="BI22" s="3">
        <f aca="true" t="shared" si="54" ref="BI22:BI28">IF($B22=740,$L22*$C22,IF($D22=740,$L22*$E22,0))</f>
        <v>0</v>
      </c>
      <c r="BJ22" s="3">
        <f aca="true" t="shared" si="55" ref="BJ22:BK27">IF($B22=740,S22*$C22,IF($D22=740,S22*$E22,0))</f>
        <v>0</v>
      </c>
      <c r="BK22" s="3">
        <f t="shared" si="55"/>
        <v>0</v>
      </c>
      <c r="BL22" s="3">
        <f>IF($B22=740,W22*$C22,IF($D22=740,W22*$E22,0))</f>
        <v>0</v>
      </c>
    </row>
    <row r="23" spans="1:64" ht="12" customHeight="1">
      <c r="A23" s="4" t="s">
        <v>102</v>
      </c>
      <c r="B23" s="5">
        <v>100</v>
      </c>
      <c r="C23" s="5">
        <v>1</v>
      </c>
      <c r="D23" s="5">
        <v>200</v>
      </c>
      <c r="E23" s="5">
        <v>0</v>
      </c>
      <c r="F23" s="214"/>
      <c r="G23" s="3">
        <v>156423.19</v>
      </c>
      <c r="H23" s="3"/>
      <c r="I23" s="185">
        <f>(G23)*0.03</f>
        <v>4692.6957</v>
      </c>
      <c r="J23" s="3">
        <f>G23+I23</f>
        <v>161115.8857</v>
      </c>
      <c r="K23" s="48" t="s">
        <v>65</v>
      </c>
      <c r="L23" s="3">
        <f>IF(K23="o",(G23+H23+I23)*$L$2,(G23+H23+I23)*$L$3)</f>
        <v>2980.64388545</v>
      </c>
      <c r="M23" s="3">
        <f t="shared" si="34"/>
        <v>21911.760455200005</v>
      </c>
      <c r="N23" s="185">
        <f>P23-O23</f>
        <v>23974.5</v>
      </c>
      <c r="O23" s="185">
        <f t="shared" si="50"/>
        <v>7991.5</v>
      </c>
      <c r="P23" s="210">
        <v>31966</v>
      </c>
      <c r="Q23" s="188">
        <f t="shared" si="20"/>
        <v>5474.811650000001</v>
      </c>
      <c r="R23" s="3">
        <f t="shared" si="2"/>
        <v>156423.19</v>
      </c>
      <c r="S23" s="3">
        <v>0</v>
      </c>
      <c r="T23" s="3">
        <v>0</v>
      </c>
      <c r="U23" s="3">
        <v>0</v>
      </c>
      <c r="V23" s="3">
        <f aca="true" t="shared" si="56" ref="V23:V28">SUM(N23)</f>
        <v>23974.5</v>
      </c>
      <c r="W23" s="3">
        <f>IF($B23=100,Q23*$C23,IF($C23=100,Q23*$E23,0))</f>
        <v>5474.811650000001</v>
      </c>
      <c r="X23" s="3">
        <f t="shared" si="22"/>
        <v>0</v>
      </c>
      <c r="Y23" s="3">
        <f>SUM(I23)</f>
        <v>4692.6957</v>
      </c>
      <c r="Z23" s="3">
        <f>IF($B23=100,$L23*$C23,IF($C23=100,$L23*$E23,0))</f>
        <v>2980.64388545</v>
      </c>
      <c r="AA23" s="3">
        <f>J23*$M$5</f>
        <v>21911.760455200005</v>
      </c>
      <c r="AB23" s="3">
        <v>0</v>
      </c>
      <c r="AC23" s="3">
        <f>IF($D23=200,Q23*$E23,IF($E23=200,Q23*$E23,0))</f>
        <v>0</v>
      </c>
      <c r="AD23" s="3">
        <f>IF($B23=300,#REF!*$C23,IF($D23=300,#REF!*$E23,0))</f>
        <v>0</v>
      </c>
      <c r="AE23" s="3">
        <f aca="true" t="shared" si="57" ref="AE23:AE28">IF($B23=300,H23*$C23,IF($D23=300,H23*$E23,0))</f>
        <v>0</v>
      </c>
      <c r="AF23" s="3">
        <f>IF($B23=300,$L23*$C23,IF($D23=300,$L23*$E23,0))</f>
        <v>0</v>
      </c>
      <c r="AG23" s="3">
        <f t="shared" si="25"/>
        <v>0</v>
      </c>
      <c r="AH23" s="3">
        <f t="shared" si="25"/>
        <v>0</v>
      </c>
      <c r="AI23" s="3">
        <f>IF($B23=300,Q23*$C23,IF($D23=300,Q23*$E23,0))</f>
        <v>0</v>
      </c>
      <c r="AJ23" s="3">
        <f>IF($B23=710,#REF!*$C23,IF($D23=710,#REF!*$E23,0))</f>
        <v>0</v>
      </c>
      <c r="AK23" s="3">
        <f>IF($B23=710,$L23*$C23,IF($D23=710,$L23*$E23,0))</f>
        <v>0</v>
      </c>
      <c r="AL23" s="3">
        <f t="shared" si="26"/>
        <v>0</v>
      </c>
      <c r="AM23" s="3">
        <f t="shared" si="26"/>
        <v>0</v>
      </c>
      <c r="AN23" s="3">
        <f>IF($B23=710,Q23*$C23,IF($D23=710,Q23*$E23,0))</f>
        <v>0</v>
      </c>
      <c r="AO23" s="3">
        <f>IF($B23=720,#REF!*$C23,IF($D23=720,#REF!*$E23,0))</f>
        <v>0</v>
      </c>
      <c r="AP23" s="3">
        <f t="shared" si="51"/>
        <v>0</v>
      </c>
      <c r="AQ23" s="3">
        <f>IF($B23=720,$L23*$C23,IF($D23=720,$L23*$E23,0))</f>
        <v>0</v>
      </c>
      <c r="AR23" s="3">
        <f aca="true" t="shared" si="58" ref="AR23:AS28">IF($B23=720,M23*$C23,IF($D23=720,M23*$E23,0))</f>
        <v>0</v>
      </c>
      <c r="AS23" s="3">
        <f t="shared" si="58"/>
        <v>0</v>
      </c>
      <c r="AT23" s="3">
        <f>IF($B23=720,Q23*$C23,IF($D23=720,Q23*$E23,0))</f>
        <v>0</v>
      </c>
      <c r="AU23" s="3">
        <f>IF($B23=730,#REF!*$C23,IF($D23=730,#REF!*$E23,0))</f>
        <v>0</v>
      </c>
      <c r="AV23" s="3">
        <f t="shared" si="52"/>
        <v>0</v>
      </c>
      <c r="AW23" s="3">
        <f>IF($B23=730,$L23*$C23,IF($D23=730,$L23*$E23,0))</f>
        <v>0</v>
      </c>
      <c r="AX23" s="3">
        <f aca="true" t="shared" si="59" ref="AX23:AY28">IF($B23=730,M23*$C23,IF($D23=730,M23*$E23,0))</f>
        <v>0</v>
      </c>
      <c r="AY23" s="3">
        <f t="shared" si="59"/>
        <v>0</v>
      </c>
      <c r="AZ23" s="3">
        <f>IF($B23=730,Q23*$C23,IF($D23=730,Q23*$E23,0))</f>
        <v>0</v>
      </c>
      <c r="BA23" s="3">
        <f>IF($B23=740,#REF!*$C23,IF($D23=740,#REF!*$E23,0))</f>
        <v>0</v>
      </c>
      <c r="BB23" s="3">
        <f t="shared" si="53"/>
        <v>0</v>
      </c>
      <c r="BC23" s="3">
        <f>IF($B23=740,$L23*$C23,IF($D23=740,$L23*$E23,0))</f>
        <v>0</v>
      </c>
      <c r="BD23" s="3">
        <f aca="true" t="shared" si="60" ref="BD23:BE28">IF($B23=740,M23*$C23,IF($D23=740,M23*$E23,0))</f>
        <v>0</v>
      </c>
      <c r="BE23" s="3">
        <f t="shared" si="60"/>
        <v>0</v>
      </c>
      <c r="BF23" s="3">
        <f>IF($B23=740,Q23*$C23,IF($D23=740,Q23*$E23,0))</f>
        <v>0</v>
      </c>
      <c r="BG23" s="3">
        <f>IF($B23=740,#REF!*$C23,IF($D23=740,#REF!*$E23,0))</f>
        <v>0</v>
      </c>
      <c r="BH23" s="3">
        <f>IF($B23=740,N23*$C23,IF($D23=740,N23*$E23,0))</f>
        <v>0</v>
      </c>
      <c r="BI23" s="3">
        <f t="shared" si="54"/>
        <v>0</v>
      </c>
      <c r="BJ23" s="3">
        <f t="shared" si="55"/>
        <v>0</v>
      </c>
      <c r="BK23" s="3">
        <f t="shared" si="55"/>
        <v>0</v>
      </c>
      <c r="BL23" s="3">
        <f>IF($B23=740,W23*$C23,IF($D23=740,W23*$E23,0))</f>
        <v>0</v>
      </c>
    </row>
    <row r="24" spans="1:64" ht="12" customHeight="1">
      <c r="A24" s="4" t="s">
        <v>10</v>
      </c>
      <c r="B24" s="5">
        <v>100</v>
      </c>
      <c r="C24" s="5">
        <v>1</v>
      </c>
      <c r="F24" s="95"/>
      <c r="G24" s="3"/>
      <c r="H24" s="3"/>
      <c r="I24" s="3"/>
      <c r="J24" s="3"/>
      <c r="K24" s="48" t="s">
        <v>65</v>
      </c>
      <c r="L24" s="3">
        <f>IF(K24="o",(G24+H24+I24)*$L$2,(G24+H24+I24)*$L$3)</f>
        <v>0</v>
      </c>
      <c r="M24" s="3">
        <f t="shared" si="34"/>
        <v>0</v>
      </c>
      <c r="N24" s="185">
        <f>P24*75%</f>
        <v>7045.5</v>
      </c>
      <c r="O24" s="185">
        <f t="shared" si="50"/>
        <v>2348.5</v>
      </c>
      <c r="P24" s="210">
        <v>9394</v>
      </c>
      <c r="Q24" s="188">
        <f t="shared" si="20"/>
        <v>0</v>
      </c>
      <c r="R24" s="3">
        <f t="shared" si="2"/>
        <v>0</v>
      </c>
      <c r="S24" s="3">
        <f>IF($B24=100,H24*$C24,IF($C24=100,H24*$E24,0))</f>
        <v>0</v>
      </c>
      <c r="T24" s="3">
        <f t="shared" si="3"/>
        <v>0</v>
      </c>
      <c r="U24" s="3">
        <f>D24*$M$5</f>
        <v>0</v>
      </c>
      <c r="V24" s="3">
        <f t="shared" si="56"/>
        <v>7045.5</v>
      </c>
      <c r="W24" s="3">
        <f>IF($B24=100,Q24*$C24,IF($C24=100,Q24*$E24,0))</f>
        <v>0</v>
      </c>
      <c r="X24" s="3">
        <f t="shared" si="22"/>
        <v>0</v>
      </c>
      <c r="Y24" s="3"/>
      <c r="Z24" s="3">
        <f>IF($B24=200,$L24*$C24,IF($C24=200,$L24*$E24,0))</f>
        <v>0</v>
      </c>
      <c r="AA24" s="3">
        <f>J24*$M$5</f>
        <v>0</v>
      </c>
      <c r="AB24" s="3">
        <v>0</v>
      </c>
      <c r="AC24" s="3">
        <f>IF($B24=200,Q24*$C24,IF($C24=200,Q24*$E24,0))</f>
        <v>0</v>
      </c>
      <c r="AD24" s="3">
        <f>IF($B24=300,#REF!*$C24,IF($D24=300,#REF!*$E24,0))</f>
        <v>0</v>
      </c>
      <c r="AE24" s="3">
        <f t="shared" si="57"/>
        <v>0</v>
      </c>
      <c r="AF24" s="3">
        <f>IF($B24=300,$L24*$C24,IF($D24=300,$L24*$E24,0))</f>
        <v>0</v>
      </c>
      <c r="AG24" s="3">
        <f t="shared" si="25"/>
        <v>0</v>
      </c>
      <c r="AH24" s="3">
        <f t="shared" si="25"/>
        <v>0</v>
      </c>
      <c r="AI24" s="3">
        <f>IF($B24=300,Q24*$C24,IF($D24=300,Q24*$E24,0))</f>
        <v>0</v>
      </c>
      <c r="AJ24" s="3">
        <f>IF($B24=710,#REF!*$C24,IF($D24=710,#REF!*$E24,0))</f>
        <v>0</v>
      </c>
      <c r="AK24" s="3">
        <f>IF($B24=710,$L24*$C24,IF($D24=710,$L24*$E24,0))</f>
        <v>0</v>
      </c>
      <c r="AL24" s="3">
        <f t="shared" si="26"/>
        <v>0</v>
      </c>
      <c r="AM24" s="3">
        <f t="shared" si="26"/>
        <v>0</v>
      </c>
      <c r="AN24" s="3">
        <f>IF($B24=710,Q24*$C24,IF($D24=710,Q24*$E24,0))</f>
        <v>0</v>
      </c>
      <c r="AO24" s="3">
        <f>IF($B24=720,#REF!*$C24,IF($D24=720,#REF!*$E24,0))</f>
        <v>0</v>
      </c>
      <c r="AP24" s="3">
        <f t="shared" si="51"/>
        <v>0</v>
      </c>
      <c r="AQ24" s="3">
        <f>IF($B24=720,$L24*$C24,IF($D24=720,$L24*$E24,0))</f>
        <v>0</v>
      </c>
      <c r="AR24" s="3">
        <f t="shared" si="58"/>
        <v>0</v>
      </c>
      <c r="AS24" s="3">
        <f t="shared" si="58"/>
        <v>0</v>
      </c>
      <c r="AT24" s="3">
        <f>IF($B24=720,Q24*$C24,IF($D24=720,Q24*$E24,0))</f>
        <v>0</v>
      </c>
      <c r="AU24" s="3">
        <f>IF($B24=730,#REF!*$C24,IF($D24=730,#REF!*$E24,0))</f>
        <v>0</v>
      </c>
      <c r="AV24" s="3">
        <f t="shared" si="52"/>
        <v>0</v>
      </c>
      <c r="AW24" s="3">
        <f>IF($B24=730,$L24*$C24,IF($D24=730,$L24*$E24,0))</f>
        <v>0</v>
      </c>
      <c r="AX24" s="3">
        <f t="shared" si="59"/>
        <v>0</v>
      </c>
      <c r="AY24" s="3">
        <f t="shared" si="59"/>
        <v>0</v>
      </c>
      <c r="AZ24" s="3">
        <f>IF($B24=730,Q24*$C24,IF($D24=730,Q24*$E24,0))</f>
        <v>0</v>
      </c>
      <c r="BA24" s="3">
        <f>IF($B24=740,#REF!*$C24,IF($D24=740,#REF!*$E24,0))</f>
        <v>0</v>
      </c>
      <c r="BB24" s="3">
        <f t="shared" si="53"/>
        <v>0</v>
      </c>
      <c r="BC24" s="3">
        <f>IF($B24=740,$L24*$C24,IF($D24=740,$L24*$E24,0))</f>
        <v>0</v>
      </c>
      <c r="BD24" s="3">
        <f t="shared" si="60"/>
        <v>0</v>
      </c>
      <c r="BE24" s="3">
        <f t="shared" si="60"/>
        <v>0</v>
      </c>
      <c r="BF24" s="3">
        <f>IF($B24=740,Q24*$C24,IF($D24=740,Q24*$E24,0))</f>
        <v>0</v>
      </c>
      <c r="BG24" s="3">
        <f>IF($B24=740,#REF!*$C24,IF($D24=740,#REF!*$E24,0))</f>
        <v>0</v>
      </c>
      <c r="BH24" s="3">
        <f>IF($B24=740,N24*$C24,IF($D24=740,N24*$E24,0))</f>
        <v>0</v>
      </c>
      <c r="BI24" s="3">
        <f t="shared" si="54"/>
        <v>0</v>
      </c>
      <c r="BJ24" s="3">
        <f t="shared" si="55"/>
        <v>0</v>
      </c>
      <c r="BK24" s="3">
        <f t="shared" si="55"/>
        <v>0</v>
      </c>
      <c r="BL24" s="3">
        <f>IF($B24=740,W24*$C24,IF($D24=740,W24*$E24,0))</f>
        <v>0</v>
      </c>
    </row>
    <row r="25" spans="1:64" ht="12" customHeight="1">
      <c r="A25" s="4" t="s">
        <v>20</v>
      </c>
      <c r="B25" s="5">
        <v>100</v>
      </c>
      <c r="C25" s="5">
        <v>1</v>
      </c>
      <c r="G25" s="3"/>
      <c r="H25" s="3"/>
      <c r="I25" s="3"/>
      <c r="J25" s="3"/>
      <c r="K25" s="48"/>
      <c r="L25" s="3"/>
      <c r="M25" s="3"/>
      <c r="N25" s="185">
        <f>P25*75%</f>
        <v>7045.5</v>
      </c>
      <c r="O25" s="185">
        <f t="shared" si="50"/>
        <v>2348.5</v>
      </c>
      <c r="P25" s="210">
        <v>9394</v>
      </c>
      <c r="Q25" s="188">
        <f t="shared" si="20"/>
        <v>0</v>
      </c>
      <c r="R25" s="3">
        <f t="shared" si="2"/>
        <v>0</v>
      </c>
      <c r="S25" s="3">
        <f>IF($B25=100,H25*$C25,IF($C25=100,H25*$E25,0))</f>
        <v>0</v>
      </c>
      <c r="T25" s="3">
        <f t="shared" si="3"/>
        <v>0</v>
      </c>
      <c r="U25" s="3">
        <v>0</v>
      </c>
      <c r="V25" s="3">
        <f t="shared" si="56"/>
        <v>7045.5</v>
      </c>
      <c r="W25" s="3">
        <f>IF($B25=100,Q25*$C25,IF($C25=100,Q25*$E25,0))</f>
        <v>0</v>
      </c>
      <c r="X25" s="3">
        <f t="shared" si="22"/>
        <v>0</v>
      </c>
      <c r="Y25" s="3"/>
      <c r="Z25" s="3">
        <f t="shared" si="4"/>
        <v>0</v>
      </c>
      <c r="AA25" s="3">
        <f>J25*$M$5</f>
        <v>0</v>
      </c>
      <c r="AB25" s="3">
        <v>0</v>
      </c>
      <c r="AC25" s="3">
        <f>IF($B25=200,Q25*$C25,IF($C25=200,Q25*$E25,0))</f>
        <v>0</v>
      </c>
      <c r="AD25" s="3">
        <f t="shared" si="6"/>
        <v>0</v>
      </c>
      <c r="AE25" s="3">
        <f t="shared" si="57"/>
        <v>0</v>
      </c>
      <c r="AF25" s="3">
        <f t="shared" si="7"/>
        <v>0</v>
      </c>
      <c r="AG25" s="3">
        <f t="shared" si="25"/>
        <v>0</v>
      </c>
      <c r="AH25" s="3">
        <f t="shared" si="25"/>
        <v>0</v>
      </c>
      <c r="AI25" s="3">
        <f>IF($B25=300,Q25*$C25,IF($D25=300,Q25*$E25,0))</f>
        <v>0</v>
      </c>
      <c r="AJ25" s="3">
        <f t="shared" si="9"/>
        <v>0</v>
      </c>
      <c r="AK25" s="3">
        <f t="shared" si="10"/>
        <v>0</v>
      </c>
      <c r="AL25" s="3">
        <f t="shared" si="26"/>
        <v>0</v>
      </c>
      <c r="AM25" s="3">
        <f t="shared" si="26"/>
        <v>0</v>
      </c>
      <c r="AN25" s="3">
        <f>IF($B25=710,Q25*$C25,IF($D25=710,Q25*$E25,0))</f>
        <v>0</v>
      </c>
      <c r="AO25" s="3">
        <f t="shared" si="12"/>
        <v>0</v>
      </c>
      <c r="AP25" s="3">
        <f t="shared" si="51"/>
        <v>0</v>
      </c>
      <c r="AQ25" s="3">
        <f t="shared" si="13"/>
        <v>0</v>
      </c>
      <c r="AR25" s="3">
        <f t="shared" si="58"/>
        <v>0</v>
      </c>
      <c r="AS25" s="3">
        <f t="shared" si="58"/>
        <v>0</v>
      </c>
      <c r="AT25" s="3">
        <f>IF($B25=720,Q25*$C25,IF($D25=720,Q25*$E25,0))</f>
        <v>0</v>
      </c>
      <c r="AU25" s="3">
        <f t="shared" si="30"/>
        <v>0</v>
      </c>
      <c r="AV25" s="3">
        <f t="shared" si="52"/>
        <v>0</v>
      </c>
      <c r="AW25" s="3">
        <f t="shared" si="31"/>
        <v>0</v>
      </c>
      <c r="AX25" s="3">
        <f t="shared" si="59"/>
        <v>0</v>
      </c>
      <c r="AY25" s="3">
        <f t="shared" si="59"/>
        <v>0</v>
      </c>
      <c r="AZ25" s="3">
        <f>IF($B25=730,Q25*$C25,IF($D25=730,Q25*$E25,0))</f>
        <v>0</v>
      </c>
      <c r="BA25" s="3">
        <f t="shared" si="32"/>
        <v>0</v>
      </c>
      <c r="BB25" s="3">
        <f t="shared" si="53"/>
        <v>0</v>
      </c>
      <c r="BC25" s="3">
        <f t="shared" si="33"/>
        <v>0</v>
      </c>
      <c r="BD25" s="3">
        <f t="shared" si="60"/>
        <v>0</v>
      </c>
      <c r="BE25" s="3">
        <f t="shared" si="60"/>
        <v>0</v>
      </c>
      <c r="BF25" s="3">
        <f>IF($B25=740,Q25*$C25,IF($D25=740,Q25*$E25,0))</f>
        <v>0</v>
      </c>
      <c r="BG25" s="3">
        <f>IF($B25=740,$G25*$C25,IF($D25=740,$G25*$E25,0))</f>
        <v>0</v>
      </c>
      <c r="BH25" s="3">
        <f>IF($B25=740,N25*$C25,IF($D25=740,N25*$E25,0))</f>
        <v>0</v>
      </c>
      <c r="BI25" s="3">
        <f t="shared" si="54"/>
        <v>0</v>
      </c>
      <c r="BJ25" s="3">
        <f t="shared" si="55"/>
        <v>0</v>
      </c>
      <c r="BK25" s="3">
        <f t="shared" si="55"/>
        <v>0</v>
      </c>
      <c r="BL25" s="3">
        <f>IF($B25=740,W25*$C25,IF($D25=740,W25*$E25,0))</f>
        <v>0</v>
      </c>
    </row>
    <row r="26" spans="1:70" ht="12" customHeight="1">
      <c r="A26" s="4" t="s">
        <v>199</v>
      </c>
      <c r="B26" s="5">
        <v>100</v>
      </c>
      <c r="C26" s="5">
        <v>1</v>
      </c>
      <c r="G26" s="3"/>
      <c r="H26" s="3"/>
      <c r="I26" s="3"/>
      <c r="J26" s="3"/>
      <c r="K26" s="48"/>
      <c r="L26" s="3"/>
      <c r="M26" s="188"/>
      <c r="N26" s="185">
        <f>P26-O26</f>
        <v>7045.5</v>
      </c>
      <c r="O26" s="185">
        <f t="shared" si="50"/>
        <v>2348.5</v>
      </c>
      <c r="P26" s="210">
        <v>9394</v>
      </c>
      <c r="Q26" s="188"/>
      <c r="R26" s="3">
        <f t="shared" si="2"/>
        <v>0</v>
      </c>
      <c r="S26" s="3"/>
      <c r="T26" s="3"/>
      <c r="U26" s="3"/>
      <c r="V26" s="3">
        <f t="shared" si="56"/>
        <v>7045.5</v>
      </c>
      <c r="W26" s="3"/>
      <c r="X26" s="3">
        <f t="shared" si="22"/>
        <v>0</v>
      </c>
      <c r="Y26" s="3"/>
      <c r="Z26" s="3"/>
      <c r="AA26" s="3"/>
      <c r="AB26" s="3"/>
      <c r="AC26" s="3"/>
      <c r="AD26" s="3"/>
      <c r="AE26" s="3">
        <f t="shared" si="57"/>
        <v>0</v>
      </c>
      <c r="AF26" s="3">
        <f t="shared" si="7"/>
        <v>0</v>
      </c>
      <c r="AG26" s="3">
        <f t="shared" si="25"/>
        <v>0</v>
      </c>
      <c r="AH26" s="3"/>
      <c r="AI26" s="3"/>
      <c r="AJ26" s="3"/>
      <c r="AK26" s="3">
        <f t="shared" si="10"/>
        <v>0</v>
      </c>
      <c r="AL26" s="3">
        <f t="shared" si="26"/>
        <v>0</v>
      </c>
      <c r="AM26" s="3"/>
      <c r="AN26" s="3"/>
      <c r="AO26" s="3"/>
      <c r="AP26" s="3">
        <f t="shared" si="51"/>
        <v>0</v>
      </c>
      <c r="AQ26" s="3">
        <f t="shared" si="13"/>
        <v>0</v>
      </c>
      <c r="AR26" s="3">
        <f t="shared" si="58"/>
        <v>0</v>
      </c>
      <c r="AS26" s="3"/>
      <c r="AT26" s="3"/>
      <c r="AU26" s="3"/>
      <c r="AV26" s="3">
        <f t="shared" si="52"/>
        <v>0</v>
      </c>
      <c r="AW26" s="3">
        <f t="shared" si="31"/>
        <v>0</v>
      </c>
      <c r="AX26" s="3">
        <f t="shared" si="59"/>
        <v>0</v>
      </c>
      <c r="AY26" s="3"/>
      <c r="AZ26" s="3"/>
      <c r="BA26" s="3"/>
      <c r="BB26" s="3">
        <f t="shared" si="53"/>
        <v>0</v>
      </c>
      <c r="BC26" s="3">
        <f t="shared" si="33"/>
        <v>0</v>
      </c>
      <c r="BD26" s="3">
        <f t="shared" si="60"/>
        <v>0</v>
      </c>
      <c r="BE26" s="3"/>
      <c r="BF26" s="3"/>
      <c r="BG26" s="3"/>
      <c r="BH26" s="3"/>
      <c r="BI26" s="3">
        <f t="shared" si="54"/>
        <v>0</v>
      </c>
      <c r="BJ26" s="3"/>
      <c r="BK26" s="3"/>
      <c r="BL26" s="3"/>
      <c r="BM26" s="3"/>
      <c r="BN26" s="3"/>
      <c r="BO26" s="3">
        <f>IF($B26=740,$L26*$C26,IF($D26=740,$L26*$E26,0))</f>
        <v>0</v>
      </c>
      <c r="BP26" s="3"/>
      <c r="BQ26" s="3"/>
      <c r="BR26" s="3"/>
    </row>
    <row r="27" spans="1:64" ht="12" customHeight="1">
      <c r="A27" s="4" t="s">
        <v>190</v>
      </c>
      <c r="B27" s="5">
        <v>100</v>
      </c>
      <c r="C27" s="5">
        <v>1</v>
      </c>
      <c r="G27" s="3"/>
      <c r="H27" s="3"/>
      <c r="I27" s="3"/>
      <c r="J27" s="3"/>
      <c r="K27" s="48"/>
      <c r="L27" s="3"/>
      <c r="M27" s="3"/>
      <c r="N27" s="185">
        <f>P27-O27</f>
        <v>3522.75</v>
      </c>
      <c r="O27" s="185">
        <f t="shared" si="50"/>
        <v>1174.25</v>
      </c>
      <c r="P27" s="210">
        <v>4697</v>
      </c>
      <c r="Q27" s="188"/>
      <c r="R27" s="3">
        <f t="shared" si="2"/>
        <v>0</v>
      </c>
      <c r="S27" s="3">
        <f>IF($B27=100,H27*$C27,IF($C27=100,H27*$E27,0))</f>
        <v>0</v>
      </c>
      <c r="T27" s="4">
        <f t="shared" si="3"/>
        <v>0</v>
      </c>
      <c r="U27" s="3">
        <f>J27*$M$5</f>
        <v>0</v>
      </c>
      <c r="V27" s="3">
        <f t="shared" si="56"/>
        <v>3522.75</v>
      </c>
      <c r="W27" s="3"/>
      <c r="X27" s="3">
        <f t="shared" si="22"/>
        <v>0</v>
      </c>
      <c r="Y27" s="3"/>
      <c r="AA27" s="3"/>
      <c r="AB27" s="3"/>
      <c r="AC27" s="3"/>
      <c r="AD27" s="3"/>
      <c r="AE27" s="3">
        <f t="shared" si="57"/>
        <v>0</v>
      </c>
      <c r="AF27" s="3">
        <f t="shared" si="7"/>
        <v>0</v>
      </c>
      <c r="AG27" s="3">
        <f t="shared" si="25"/>
        <v>0</v>
      </c>
      <c r="AH27" s="3"/>
      <c r="AI27" s="3"/>
      <c r="AJ27" s="3"/>
      <c r="AK27" s="3">
        <f t="shared" si="10"/>
        <v>0</v>
      </c>
      <c r="AL27" s="3">
        <f t="shared" si="26"/>
        <v>0</v>
      </c>
      <c r="AM27" s="3"/>
      <c r="AN27" s="3"/>
      <c r="AO27" s="3"/>
      <c r="AP27" s="3">
        <f t="shared" si="51"/>
        <v>0</v>
      </c>
      <c r="AQ27" s="4">
        <f t="shared" si="13"/>
        <v>0</v>
      </c>
      <c r="AR27" s="4">
        <f t="shared" si="58"/>
        <v>0</v>
      </c>
      <c r="AS27" s="3"/>
      <c r="AT27" s="3"/>
      <c r="AU27" s="3"/>
      <c r="AV27" s="3">
        <f t="shared" si="52"/>
        <v>0</v>
      </c>
      <c r="AW27" s="4">
        <f t="shared" si="31"/>
        <v>0</v>
      </c>
      <c r="AX27" s="4">
        <f t="shared" si="59"/>
        <v>0</v>
      </c>
      <c r="AY27" s="3"/>
      <c r="AZ27" s="3"/>
      <c r="BA27" s="3"/>
      <c r="BB27" s="3">
        <f t="shared" si="53"/>
        <v>0</v>
      </c>
      <c r="BC27" s="4">
        <f t="shared" si="33"/>
        <v>0</v>
      </c>
      <c r="BD27" s="4">
        <f t="shared" si="60"/>
        <v>0</v>
      </c>
      <c r="BE27" s="3"/>
      <c r="BF27" s="3"/>
      <c r="BG27" s="3"/>
      <c r="BH27" s="3"/>
      <c r="BI27" s="4">
        <f t="shared" si="54"/>
        <v>0</v>
      </c>
      <c r="BJ27" s="4">
        <f t="shared" si="55"/>
        <v>0</v>
      </c>
      <c r="BK27" s="3">
        <f t="shared" si="55"/>
        <v>0</v>
      </c>
      <c r="BL27" s="3"/>
    </row>
    <row r="28" spans="1:64" ht="12" customHeight="1">
      <c r="A28" s="4" t="s">
        <v>191</v>
      </c>
      <c r="B28" s="5">
        <v>100</v>
      </c>
      <c r="C28" s="5">
        <v>1</v>
      </c>
      <c r="G28" s="3"/>
      <c r="H28" s="3"/>
      <c r="I28" s="3"/>
      <c r="J28" s="3"/>
      <c r="K28" s="48"/>
      <c r="L28" s="3"/>
      <c r="M28" s="3"/>
      <c r="N28" s="185">
        <f>P28-O28</f>
        <v>3522.75</v>
      </c>
      <c r="O28" s="185">
        <f>P28*0.25</f>
        <v>1174.25</v>
      </c>
      <c r="P28" s="210">
        <v>4697</v>
      </c>
      <c r="Q28" s="188"/>
      <c r="R28" s="3">
        <f t="shared" si="2"/>
        <v>0</v>
      </c>
      <c r="S28" s="3"/>
      <c r="U28" s="3"/>
      <c r="V28" s="3">
        <f t="shared" si="56"/>
        <v>3522.75</v>
      </c>
      <c r="W28" s="3"/>
      <c r="X28" s="3"/>
      <c r="Y28" s="3"/>
      <c r="AA28" s="3"/>
      <c r="AB28" s="3"/>
      <c r="AC28" s="3"/>
      <c r="AD28" s="3"/>
      <c r="AE28" s="3">
        <f t="shared" si="57"/>
        <v>0</v>
      </c>
      <c r="AF28" s="3">
        <f t="shared" si="7"/>
        <v>0</v>
      </c>
      <c r="AG28" s="3">
        <f t="shared" si="25"/>
        <v>0</v>
      </c>
      <c r="AH28" s="3"/>
      <c r="AI28" s="3"/>
      <c r="AJ28" s="3"/>
      <c r="AK28" s="3">
        <f t="shared" si="10"/>
        <v>0</v>
      </c>
      <c r="AL28" s="3">
        <f t="shared" si="26"/>
        <v>0</v>
      </c>
      <c r="AM28" s="3"/>
      <c r="AN28" s="3"/>
      <c r="AO28" s="3"/>
      <c r="AP28" s="3">
        <f t="shared" si="51"/>
        <v>0</v>
      </c>
      <c r="AQ28" s="4">
        <f t="shared" si="13"/>
        <v>0</v>
      </c>
      <c r="AR28" s="4">
        <f t="shared" si="58"/>
        <v>0</v>
      </c>
      <c r="AS28" s="3"/>
      <c r="AT28" s="3"/>
      <c r="AU28" s="3"/>
      <c r="AV28" s="3">
        <f t="shared" si="52"/>
        <v>0</v>
      </c>
      <c r="AW28" s="4">
        <f t="shared" si="31"/>
        <v>0</v>
      </c>
      <c r="AX28" s="4">
        <f t="shared" si="59"/>
        <v>0</v>
      </c>
      <c r="AY28" s="3"/>
      <c r="AZ28" s="3"/>
      <c r="BA28" s="3"/>
      <c r="BB28" s="3">
        <f t="shared" si="53"/>
        <v>0</v>
      </c>
      <c r="BC28" s="4">
        <f t="shared" si="33"/>
        <v>0</v>
      </c>
      <c r="BD28" s="4">
        <f t="shared" si="60"/>
        <v>0</v>
      </c>
      <c r="BE28" s="3"/>
      <c r="BF28" s="3"/>
      <c r="BG28" s="3"/>
      <c r="BH28" s="3"/>
      <c r="BI28" s="4">
        <f t="shared" si="54"/>
        <v>0</v>
      </c>
      <c r="BK28" s="3"/>
      <c r="BL28" s="3"/>
    </row>
    <row r="29" spans="2:64" s="11" customFormat="1" ht="29.25" customHeight="1" thickBot="1">
      <c r="B29" s="12"/>
      <c r="C29" s="12"/>
      <c r="D29" s="12"/>
      <c r="E29" s="12"/>
      <c r="F29" s="92"/>
      <c r="G29" s="13">
        <f>SUM(H29:J29)</f>
        <v>915541.8529999999</v>
      </c>
      <c r="H29" s="13">
        <f>SUM(H7:H27)</f>
        <v>0</v>
      </c>
      <c r="I29" s="13">
        <f>SUM(I7:I27)</f>
        <v>14811.1865</v>
      </c>
      <c r="J29" s="13">
        <f>SUM(J7:J27)</f>
        <v>900730.6664999999</v>
      </c>
      <c r="K29" s="49"/>
      <c r="L29" s="13">
        <f aca="true" t="shared" si="61" ref="L29:S29">SUM(L7:L27)</f>
        <v>16663.51733025</v>
      </c>
      <c r="M29" s="232">
        <f t="shared" si="61"/>
        <v>119371.37064400001</v>
      </c>
      <c r="N29" s="13">
        <f>SUM(N7:N28)</f>
        <v>209489.25</v>
      </c>
      <c r="O29" s="13">
        <f>SUM(O7:O28)</f>
        <v>69829.75</v>
      </c>
      <c r="P29" s="232">
        <f>SUM(P7:P28)</f>
        <v>279319</v>
      </c>
      <c r="Q29" s="232">
        <f t="shared" si="61"/>
        <v>31007.181799999995</v>
      </c>
      <c r="R29" s="13">
        <f>SUM(R7:R28)</f>
        <v>156423.19</v>
      </c>
      <c r="S29" s="13">
        <f t="shared" si="61"/>
        <v>0</v>
      </c>
      <c r="T29" s="13">
        <f>SUM(T6:T27)</f>
        <v>0</v>
      </c>
      <c r="U29" s="13">
        <f>SUM(U6:U27)</f>
        <v>0</v>
      </c>
      <c r="V29" s="233">
        <f>SUM(V7:V27)</f>
        <v>182914.5</v>
      </c>
      <c r="W29" s="13">
        <f>SUM(W7:W27)</f>
        <v>7088.3945300000005</v>
      </c>
      <c r="X29" s="13">
        <f>SUM(X7:X27)</f>
        <v>645217.3714640001</v>
      </c>
      <c r="Y29" s="13">
        <f>SUM(Y7:Y27)</f>
        <v>14811.1865</v>
      </c>
      <c r="Z29" s="13">
        <f>SUM(Z6:Z25)</f>
        <v>11618.917473533998</v>
      </c>
      <c r="AA29" s="13">
        <f>SUM(AA6:AA25)</f>
        <v>105883.60469840001</v>
      </c>
      <c r="AB29" s="13">
        <f aca="true" t="shared" si="62" ref="AB29:AO29">SUM(AB7:AB27)</f>
        <v>23052</v>
      </c>
      <c r="AC29" s="13">
        <f t="shared" si="62"/>
        <v>16020.613573999999</v>
      </c>
      <c r="AD29" s="13">
        <f t="shared" si="62"/>
        <v>0</v>
      </c>
      <c r="AE29" s="13">
        <f>SUM(AE7:AE28)</f>
        <v>0</v>
      </c>
      <c r="AF29" s="13">
        <f>SUM(AF7:AF28)</f>
        <v>0</v>
      </c>
      <c r="AG29" s="13">
        <f>SUM(AG7:AG28)</f>
        <v>0</v>
      </c>
      <c r="AH29" s="13">
        <f t="shared" si="62"/>
        <v>0</v>
      </c>
      <c r="AI29" s="13">
        <f t="shared" si="62"/>
        <v>0</v>
      </c>
      <c r="AJ29" s="13">
        <f t="shared" si="62"/>
        <v>0</v>
      </c>
      <c r="AK29" s="13">
        <f>SUM(AK7:AK28)</f>
        <v>0</v>
      </c>
      <c r="AL29" s="13">
        <f>SUM(AL7:AL28)</f>
        <v>0</v>
      </c>
      <c r="AM29" s="13">
        <f t="shared" si="62"/>
        <v>0</v>
      </c>
      <c r="AN29" s="13">
        <f t="shared" si="62"/>
        <v>0</v>
      </c>
      <c r="AO29" s="13">
        <f t="shared" si="62"/>
        <v>34800.3736</v>
      </c>
      <c r="AP29" s="13">
        <f>SUM(AP7:AP28)</f>
        <v>0</v>
      </c>
      <c r="AQ29" s="13">
        <f>SUM(AQ6:AQ28)</f>
        <v>648.5004307159999</v>
      </c>
      <c r="AR29" s="13">
        <f>SUM(AR6:AR28)</f>
        <v>0</v>
      </c>
      <c r="AS29" s="13">
        <f>SUM(AS7:AS27)</f>
        <v>0</v>
      </c>
      <c r="AT29" s="13">
        <f>SUM(AT7:AT27)</f>
        <v>1218.0130759999997</v>
      </c>
      <c r="AU29" s="13">
        <f>SUM(AU7:AU27)</f>
        <v>59343.331999999995</v>
      </c>
      <c r="AV29" s="13">
        <f>SUM(AV7:AV28)</f>
        <v>0</v>
      </c>
      <c r="AW29" s="13">
        <f>SUM(AW6:AW28)</f>
        <v>1097.8516419999999</v>
      </c>
      <c r="AX29" s="13">
        <f>SUM(AX6:AX28)</f>
        <v>6694.3688</v>
      </c>
      <c r="AY29" s="13">
        <f>SUM(AY7:AY27)</f>
        <v>10785.1125</v>
      </c>
      <c r="AZ29" s="13">
        <f>SUM(AZ7:AZ27)</f>
        <v>2077.01662</v>
      </c>
      <c r="BA29" s="13">
        <f>SUM(BA7:BA27)</f>
        <v>0</v>
      </c>
      <c r="BB29" s="13">
        <f>SUM(BB7:BB28)</f>
        <v>0</v>
      </c>
      <c r="BC29" s="13">
        <f>SUM(BC6:BC28)</f>
        <v>0</v>
      </c>
      <c r="BD29" s="13">
        <f>SUM(BD6:BD28)</f>
        <v>0</v>
      </c>
      <c r="BE29" s="13">
        <f>SUM(BE7:BE27)</f>
        <v>0</v>
      </c>
      <c r="BF29" s="13">
        <f>SUM(BF7:BF27)</f>
        <v>0</v>
      </c>
      <c r="BG29" s="13">
        <f>SUM(BG7:BG27)</f>
        <v>0</v>
      </c>
      <c r="BH29" s="13">
        <f>SUM(BH7:BH27)</f>
        <v>0</v>
      </c>
      <c r="BI29" s="13">
        <f>SUM(BI6:BI28)</f>
        <v>0</v>
      </c>
      <c r="BJ29" s="13">
        <f>SUM(BJ6:BJ27)</f>
        <v>0</v>
      </c>
      <c r="BK29" s="13">
        <f>SUM(BK8:BK27)</f>
        <v>0</v>
      </c>
      <c r="BL29" s="13">
        <f>SUM(BL8:BL27)</f>
        <v>0</v>
      </c>
    </row>
    <row r="30" spans="7:59" ht="19.5" customHeight="1" thickTop="1">
      <c r="G30" s="3">
        <f>SUM(R30:BL30)</f>
        <v>1424650.56518105</v>
      </c>
      <c r="H30" s="51">
        <f>H29</f>
        <v>0</v>
      </c>
      <c r="I30" s="51">
        <f>I29</f>
        <v>14811.1865</v>
      </c>
      <c r="J30" s="51">
        <f>J29</f>
        <v>900730.6664999999</v>
      </c>
      <c r="K30" s="48"/>
      <c r="L30" s="51">
        <f>L29</f>
        <v>16663.51733025</v>
      </c>
      <c r="M30" s="51">
        <f>M29</f>
        <v>119371.37064400001</v>
      </c>
      <c r="N30" s="51">
        <f>N29</f>
        <v>209489.25</v>
      </c>
      <c r="O30" s="3"/>
      <c r="P30" s="185"/>
      <c r="Q30" s="51">
        <f>Q29</f>
        <v>31007.181799999995</v>
      </c>
      <c r="R30" s="3">
        <f>SUM(R29:W29)</f>
        <v>346426.08453</v>
      </c>
      <c r="S30" s="3"/>
      <c r="T30" s="3"/>
      <c r="U30" s="3"/>
      <c r="V30" s="3"/>
      <c r="W30" s="3"/>
      <c r="X30" s="3">
        <f>SUM(X29:AC29)</f>
        <v>816603.693709934</v>
      </c>
      <c r="Y30" s="3"/>
      <c r="Z30" s="3"/>
      <c r="AA30" s="3">
        <f>SUM(AA29:AF29)</f>
        <v>144956.2182724</v>
      </c>
      <c r="AB30" s="3"/>
      <c r="AC30" s="3"/>
      <c r="AD30" s="3">
        <f>SUM(AD29:AI29)</f>
        <v>0</v>
      </c>
      <c r="AE30" s="3"/>
      <c r="AF30" s="3"/>
      <c r="AG30" s="3"/>
      <c r="AH30" s="3"/>
      <c r="AI30" s="3"/>
      <c r="AJ30" s="3">
        <f>SUM(AJ29:AN29)</f>
        <v>0</v>
      </c>
      <c r="AK30" s="3"/>
      <c r="AL30" s="3"/>
      <c r="AM30" s="3"/>
      <c r="AN30" s="3"/>
      <c r="AO30" s="3">
        <f>SUM(AO29:AT29)</f>
        <v>36666.887106716</v>
      </c>
      <c r="AU30" s="3">
        <f>SUM(AU29:AZ29)</f>
        <v>79997.681562</v>
      </c>
      <c r="BA30" s="3">
        <f>SUM(BA29:BF29)</f>
        <v>0</v>
      </c>
      <c r="BG30" s="3">
        <f>SUM(BG29:BL29)</f>
        <v>0</v>
      </c>
    </row>
    <row r="32" spans="7:58" ht="9">
      <c r="G32" s="11"/>
      <c r="Q32" s="195"/>
      <c r="X32" s="3">
        <f>X30-X29</f>
        <v>171386.32224593393</v>
      </c>
      <c r="BC32" s="4" t="s">
        <v>153</v>
      </c>
      <c r="BE32" s="3">
        <f>SUM(BA16:BF16)</f>
        <v>0</v>
      </c>
      <c r="BF32" s="182">
        <f>SUM(BE32/12)</f>
        <v>0</v>
      </c>
    </row>
    <row r="33" ht="9">
      <c r="BG33" s="4" t="s">
        <v>155</v>
      </c>
    </row>
    <row r="34" spans="21:58" ht="9">
      <c r="U34" s="3">
        <f>SUM(R30:BL30)</f>
        <v>1424650.56518105</v>
      </c>
      <c r="BC34" s="4" t="s">
        <v>154</v>
      </c>
      <c r="BE34" s="3">
        <f>SUM(BA18:BF18)</f>
        <v>0</v>
      </c>
      <c r="BF34" s="182">
        <v>764</v>
      </c>
    </row>
    <row r="36" spans="12:41" ht="9">
      <c r="L36" s="11"/>
      <c r="AO36" s="149">
        <f>SUM(U29+AA29+AR29+AX29+BD29)</f>
        <v>112577.97349840001</v>
      </c>
    </row>
    <row r="40" ht="9">
      <c r="A40" s="4" t="s">
        <v>168</v>
      </c>
    </row>
  </sheetData>
  <sheetProtection/>
  <printOptions gridLines="1"/>
  <pageMargins left="0.4" right="0.5" top="0.83" bottom="0.72" header="0.28" footer="0.5"/>
  <pageSetup fitToWidth="3" fitToHeight="1" horizontalDpi="600" verticalDpi="600" orientation="landscape" scale="69" r:id="rId1"/>
  <headerFooter alignWithMargins="0">
    <oddFooter>&amp;C&amp;A&amp;R&amp;P</oddFooter>
  </headerFooter>
  <rowBreaks count="1" manualBreakCount="1">
    <brk id="3" max="255" man="1"/>
  </rowBreaks>
  <colBreaks count="3" manualBreakCount="3">
    <brk id="1" max="65535" man="1"/>
    <brk id="17" max="29" man="1"/>
    <brk id="40" max="2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.57421875" style="0" customWidth="1"/>
    <col min="3" max="3" width="46.00390625" style="0" customWidth="1"/>
    <col min="4" max="4" width="11.7109375" style="0" bestFit="1" customWidth="1"/>
    <col min="5" max="7" width="10.57421875" style="0" customWidth="1"/>
    <col min="8" max="8" width="2.00390625" style="0" customWidth="1"/>
    <col min="10" max="10" width="10.28125" style="0" customWidth="1"/>
  </cols>
  <sheetData>
    <row r="1" spans="5:9" ht="12.75">
      <c r="E1" s="14"/>
      <c r="G1" s="14"/>
      <c r="H1" s="14"/>
      <c r="I1" s="14"/>
    </row>
    <row r="2" spans="5:9" ht="12.75">
      <c r="E2" s="14"/>
      <c r="G2" s="14"/>
      <c r="H2" s="14"/>
      <c r="I2" s="14"/>
    </row>
    <row r="3" spans="3:9" ht="12.75">
      <c r="C3" s="67" t="s">
        <v>70</v>
      </c>
      <c r="E3" s="14"/>
      <c r="G3" s="14"/>
      <c r="H3" s="14"/>
      <c r="I3" s="14"/>
    </row>
    <row r="4" spans="1:11" ht="47.25" customHeight="1">
      <c r="A4" s="4"/>
      <c r="B4" s="4"/>
      <c r="C4" s="2" t="s">
        <v>71</v>
      </c>
      <c r="D4" s="2" t="s">
        <v>4</v>
      </c>
      <c r="E4" s="2" t="s">
        <v>72</v>
      </c>
      <c r="F4" s="2" t="s">
        <v>30</v>
      </c>
      <c r="G4" s="2" t="s">
        <v>72</v>
      </c>
      <c r="H4" s="2"/>
      <c r="I4" s="2" t="s">
        <v>73</v>
      </c>
      <c r="J4" s="2" t="s">
        <v>74</v>
      </c>
      <c r="K4" s="2" t="s">
        <v>94</v>
      </c>
    </row>
    <row r="5" spans="3:11" ht="21" customHeight="1">
      <c r="C5" t="s">
        <v>75</v>
      </c>
      <c r="D5" s="15"/>
      <c r="E5" s="17"/>
      <c r="F5" s="15"/>
      <c r="G5" s="17"/>
      <c r="H5" s="17"/>
      <c r="I5" s="68"/>
      <c r="J5" s="18"/>
      <c r="K5" s="18"/>
    </row>
    <row r="6" spans="3:9" ht="21" customHeight="1">
      <c r="C6" t="s">
        <v>76</v>
      </c>
      <c r="D6" s="15"/>
      <c r="E6" s="17"/>
      <c r="F6" s="15"/>
      <c r="G6" s="17"/>
      <c r="H6" s="17"/>
      <c r="I6" s="68"/>
    </row>
    <row r="7" spans="3:10" ht="21" customHeight="1">
      <c r="C7" t="s">
        <v>77</v>
      </c>
      <c r="D7" s="15"/>
      <c r="E7" s="17"/>
      <c r="F7" s="15"/>
      <c r="G7" s="17"/>
      <c r="H7" s="17"/>
      <c r="I7" s="68"/>
      <c r="J7" s="18"/>
    </row>
    <row r="8" spans="3:9" ht="21" customHeight="1">
      <c r="C8" t="s">
        <v>78</v>
      </c>
      <c r="D8" s="15"/>
      <c r="E8" s="17"/>
      <c r="F8" s="15"/>
      <c r="G8" s="17"/>
      <c r="H8" s="17"/>
      <c r="I8" s="68"/>
    </row>
    <row r="9" spans="3:10" ht="21" customHeight="1">
      <c r="C9" t="s">
        <v>79</v>
      </c>
      <c r="D9" s="15"/>
      <c r="E9" s="17"/>
      <c r="F9" s="15"/>
      <c r="G9" s="17"/>
      <c r="H9" s="17"/>
      <c r="I9" s="68"/>
      <c r="J9" s="18"/>
    </row>
    <row r="10" spans="3:9" ht="21" customHeight="1">
      <c r="C10" t="s">
        <v>80</v>
      </c>
      <c r="D10" s="15"/>
      <c r="E10" s="17"/>
      <c r="F10" s="15"/>
      <c r="G10" s="17"/>
      <c r="H10" s="17"/>
      <c r="I10" s="68"/>
    </row>
    <row r="11" spans="3:10" ht="21" customHeight="1" hidden="1" thickBot="1">
      <c r="C11" s="69" t="s">
        <v>81</v>
      </c>
      <c r="E11" s="14"/>
      <c r="G11" s="14"/>
      <c r="H11" s="14"/>
      <c r="I11" s="27"/>
      <c r="J11" s="70">
        <f>J5-J7</f>
        <v>0</v>
      </c>
    </row>
    <row r="12" spans="3:10" ht="21" customHeight="1" hidden="1" thickTop="1">
      <c r="C12" t="s">
        <v>82</v>
      </c>
      <c r="E12" s="14"/>
      <c r="G12" s="14"/>
      <c r="H12" s="14"/>
      <c r="I12" s="68">
        <f>I7-I5</f>
        <v>0</v>
      </c>
      <c r="J12" s="18" t="e">
        <f>I12/I13</f>
        <v>#DIV/0!</v>
      </c>
    </row>
    <row r="13" spans="3:10" ht="21" customHeight="1" hidden="1">
      <c r="C13" t="s">
        <v>83</v>
      </c>
      <c r="E13" s="14"/>
      <c r="G13" s="14"/>
      <c r="H13" s="14"/>
      <c r="I13" s="68">
        <f>I8-I6</f>
        <v>0</v>
      </c>
      <c r="J13" s="18"/>
    </row>
    <row r="14" spans="3:10" ht="21" customHeight="1">
      <c r="C14" t="s">
        <v>105</v>
      </c>
      <c r="D14" s="15">
        <v>477750</v>
      </c>
      <c r="E14" s="17">
        <f>D14/D15</f>
        <v>95.55</v>
      </c>
      <c r="F14" s="15">
        <v>301000</v>
      </c>
      <c r="G14" s="17">
        <f>F14/F15</f>
        <v>70</v>
      </c>
      <c r="H14" s="17"/>
      <c r="I14" s="68">
        <f>D14+F14</f>
        <v>778750</v>
      </c>
      <c r="J14" s="18">
        <f>I14/I15</f>
        <v>83.73655913978494</v>
      </c>
    </row>
    <row r="15" spans="3:9" ht="21" customHeight="1">
      <c r="C15" t="s">
        <v>106</v>
      </c>
      <c r="D15" s="15">
        <v>5000</v>
      </c>
      <c r="E15" s="17"/>
      <c r="F15" s="15">
        <v>4300</v>
      </c>
      <c r="G15" s="17"/>
      <c r="H15" s="17"/>
      <c r="I15" s="68">
        <f>SUM(D15:F15)</f>
        <v>9300</v>
      </c>
    </row>
    <row r="16" spans="3:9" ht="21" customHeight="1" hidden="1">
      <c r="C16" s="14" t="s">
        <v>84</v>
      </c>
      <c r="D16" s="71" t="e">
        <f>(D14-D7)/D7</f>
        <v>#DIV/0!</v>
      </c>
      <c r="E16" s="71"/>
      <c r="F16" s="71" t="e">
        <f>(F14-F7)/F7</f>
        <v>#DIV/0!</v>
      </c>
      <c r="G16" s="71"/>
      <c r="H16" s="71"/>
      <c r="I16" s="71" t="e">
        <f>(I14-I7)/I7</f>
        <v>#DIV/0!</v>
      </c>
    </row>
    <row r="17" spans="3:9" ht="21" customHeight="1" hidden="1">
      <c r="C17" s="14" t="s">
        <v>85</v>
      </c>
      <c r="D17" s="71" t="e">
        <f>(D14-D9)/D9</f>
        <v>#DIV/0!</v>
      </c>
      <c r="E17" s="71"/>
      <c r="F17" s="71" t="e">
        <f>(F14-F9)/F9</f>
        <v>#DIV/0!</v>
      </c>
      <c r="G17" s="71"/>
      <c r="H17" s="71"/>
      <c r="I17" s="71" t="e">
        <f>(I14-I9)/I9</f>
        <v>#DIV/0!</v>
      </c>
    </row>
    <row r="18" spans="5:10" ht="12.75">
      <c r="E18" s="14"/>
      <c r="G18" s="14"/>
      <c r="H18" s="14"/>
      <c r="I18" s="14"/>
      <c r="J18" s="72"/>
    </row>
    <row r="19" spans="3:9" ht="27" customHeight="1">
      <c r="C19" s="79" t="s">
        <v>88</v>
      </c>
      <c r="D19" s="75" t="s">
        <v>86</v>
      </c>
      <c r="E19" s="75" t="s">
        <v>87</v>
      </c>
      <c r="F19" s="75" t="s">
        <v>89</v>
      </c>
      <c r="G19" s="75" t="s">
        <v>108</v>
      </c>
      <c r="H19" s="14"/>
      <c r="I19" s="14"/>
    </row>
    <row r="20" spans="3:9" ht="24" customHeight="1">
      <c r="C20" t="s">
        <v>107</v>
      </c>
      <c r="D20" s="68"/>
      <c r="E20" s="68"/>
      <c r="F20" s="68"/>
      <c r="G20" s="68">
        <f>'[1]1-Summary Budget'!N40</f>
        <v>2274630.0367153846</v>
      </c>
      <c r="H20" s="14"/>
      <c r="I20" s="14"/>
    </row>
    <row r="21" spans="3:7" ht="12.75">
      <c r="C21" t="s">
        <v>66</v>
      </c>
      <c r="D21" s="68"/>
      <c r="E21" s="68"/>
      <c r="F21" s="73"/>
      <c r="G21" s="15">
        <f>-'[1]1-Summary Budget'!N20</f>
        <v>-649500</v>
      </c>
    </row>
    <row r="22" spans="3:7" ht="12.75">
      <c r="C22" t="s">
        <v>39</v>
      </c>
      <c r="D22" s="68"/>
      <c r="E22" s="68"/>
      <c r="F22" s="73"/>
      <c r="G22" s="15">
        <f>-'[1]1-Summary Budget'!E23-'[1]1-Summary Budget'!F23-'[1]1-Summary Budget'!E22-'[1]1-Summary Budget'!F22</f>
        <v>-307277.8846153846</v>
      </c>
    </row>
    <row r="23" spans="4:7" ht="24" customHeight="1" thickBot="1">
      <c r="D23" s="74"/>
      <c r="E23" s="74"/>
      <c r="F23" s="74"/>
      <c r="G23" s="74">
        <f>SUM(G20:G22)</f>
        <v>1317852.1521</v>
      </c>
    </row>
    <row r="24" spans="3:7" ht="24" customHeight="1" thickTop="1">
      <c r="C24" s="14" t="s">
        <v>92</v>
      </c>
      <c r="D24" s="73"/>
      <c r="E24" s="73"/>
      <c r="F24" s="78">
        <f>F23-E23</f>
        <v>0</v>
      </c>
      <c r="G24" s="78">
        <f>G23-F23</f>
        <v>1317852.1521</v>
      </c>
    </row>
    <row r="25" spans="3:7" ht="16.5" customHeight="1">
      <c r="C25" s="14" t="s">
        <v>93</v>
      </c>
      <c r="D25" s="73"/>
      <c r="E25" s="73"/>
      <c r="F25" s="77" t="e">
        <f>(F23-E23)/E23</f>
        <v>#DIV/0!</v>
      </c>
      <c r="G25" s="77" t="e">
        <f>(G23-F23)/F23</f>
        <v>#DIV/0!</v>
      </c>
    </row>
    <row r="26" spans="3:7" ht="19.5" customHeight="1">
      <c r="C26" t="s">
        <v>91</v>
      </c>
      <c r="D26" s="15"/>
      <c r="E26" s="73">
        <f>E23-D23</f>
        <v>0</v>
      </c>
      <c r="F26" s="15"/>
      <c r="G26" s="15"/>
    </row>
    <row r="27" spans="3:5" ht="12.75">
      <c r="C27" t="s">
        <v>90</v>
      </c>
      <c r="E27" s="76">
        <f>(I8-I6)*K5</f>
        <v>0</v>
      </c>
    </row>
  </sheetData>
  <sheetProtection/>
  <printOptions/>
  <pageMargins left="0.75" right="0.75" top="0.77" bottom="1" header="0.5" footer="0.5"/>
  <pageSetup fitToHeight="1" fitToWidth="1" horizontalDpi="300" verticalDpi="300" orientation="landscape" scale="97" r:id="rId1"/>
  <headerFooter alignWithMargins="0">
    <oddFooter>&amp;C&amp;A&amp;R&amp;P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9.28125" style="27" customWidth="1"/>
    <col min="2" max="2" width="10.00390625" style="0" customWidth="1"/>
    <col min="5" max="5" width="9.7109375" style="0" customWidth="1"/>
    <col min="8" max="8" width="11.140625" style="0" customWidth="1"/>
    <col min="15" max="15" width="10.7109375" style="0" bestFit="1" customWidth="1"/>
  </cols>
  <sheetData>
    <row r="1" ht="13.5" customHeight="1">
      <c r="D1" s="174" t="s">
        <v>200</v>
      </c>
    </row>
    <row r="2" spans="4:11" ht="13.5" customHeight="1">
      <c r="D2" s="174"/>
      <c r="J2" s="236"/>
      <c r="K2" s="236"/>
    </row>
    <row r="3" spans="2:9" ht="12.75">
      <c r="B3" s="179"/>
      <c r="I3" s="235"/>
    </row>
    <row r="4" spans="1:15" ht="12.75">
      <c r="A4" s="27" t="s">
        <v>146</v>
      </c>
      <c r="B4" t="s">
        <v>207</v>
      </c>
      <c r="I4" s="235"/>
      <c r="J4" s="235"/>
      <c r="K4" s="235"/>
      <c r="L4" s="235"/>
      <c r="M4" s="235"/>
      <c r="N4" s="236"/>
      <c r="O4" s="236"/>
    </row>
    <row r="5" spans="9:14" ht="12.75">
      <c r="I5" s="215"/>
      <c r="J5" s="215"/>
      <c r="K5" s="215"/>
      <c r="L5" s="215"/>
      <c r="M5" s="215"/>
      <c r="N5" s="236"/>
    </row>
    <row r="6" spans="1:12" ht="12.75">
      <c r="A6" s="27" t="s">
        <v>146</v>
      </c>
      <c r="B6" s="216" t="s">
        <v>201</v>
      </c>
      <c r="F6" s="201"/>
      <c r="G6" s="201"/>
      <c r="I6" s="203"/>
      <c r="J6" s="236"/>
      <c r="K6" s="237"/>
      <c r="L6" s="236"/>
    </row>
    <row r="7" spans="2:15" ht="12.75">
      <c r="B7" s="194"/>
      <c r="F7" s="201"/>
      <c r="G7" s="201"/>
      <c r="I7" s="236"/>
      <c r="J7" s="236"/>
      <c r="M7" s="113"/>
      <c r="N7" s="113"/>
      <c r="O7" s="113"/>
    </row>
    <row r="8" spans="1:11" ht="12.75">
      <c r="A8" s="27" t="s">
        <v>146</v>
      </c>
      <c r="B8" s="194" t="s">
        <v>169</v>
      </c>
      <c r="G8" s="201"/>
      <c r="H8" s="201"/>
      <c r="I8" s="201"/>
      <c r="J8" s="236"/>
      <c r="K8" s="238"/>
    </row>
    <row r="9" spans="2:15" ht="12.75">
      <c r="B9" s="194"/>
      <c r="G9" s="201"/>
      <c r="H9" s="201"/>
      <c r="I9" s="238"/>
      <c r="M9" s="238"/>
      <c r="O9" s="246"/>
    </row>
    <row r="10" spans="1:11" ht="12.75">
      <c r="A10" s="27" t="s">
        <v>161</v>
      </c>
      <c r="B10" s="216" t="s">
        <v>173</v>
      </c>
      <c r="J10" s="236"/>
      <c r="K10" s="238"/>
    </row>
    <row r="11" spans="2:13" ht="12.75">
      <c r="B11" s="194"/>
      <c r="L11" s="238"/>
      <c r="M11" s="236"/>
    </row>
    <row r="12" spans="2:13" ht="12.75">
      <c r="B12" s="194" t="s">
        <v>202</v>
      </c>
      <c r="G12" s="194" t="s">
        <v>248</v>
      </c>
      <c r="L12" s="238"/>
      <c r="M12" s="236"/>
    </row>
    <row r="13" spans="2:13" ht="12.75">
      <c r="B13" s="194"/>
      <c r="L13" s="238"/>
      <c r="M13" s="236"/>
    </row>
    <row r="14" spans="1:13" ht="12.75">
      <c r="A14" s="27" t="s">
        <v>161</v>
      </c>
      <c r="B14" s="216" t="s">
        <v>249</v>
      </c>
      <c r="C14" s="270"/>
      <c r="D14" s="270"/>
      <c r="E14" s="270"/>
      <c r="F14" s="270"/>
      <c r="G14" s="270"/>
      <c r="H14" s="270"/>
      <c r="J14" s="236"/>
      <c r="K14" s="236"/>
      <c r="M14" s="238"/>
    </row>
    <row r="15" spans="2:12" ht="12.75">
      <c r="B15" s="194"/>
      <c r="I15" s="237"/>
      <c r="L15" s="237"/>
    </row>
    <row r="16" spans="1:13" ht="12.75">
      <c r="A16" s="199" t="s">
        <v>146</v>
      </c>
      <c r="B16" s="216" t="s">
        <v>253</v>
      </c>
      <c r="J16" s="236"/>
      <c r="K16" s="236"/>
      <c r="L16" s="240"/>
      <c r="M16" s="240"/>
    </row>
    <row r="17" spans="1:10" ht="12.75">
      <c r="A17" s="196"/>
      <c r="B17" s="194"/>
      <c r="I17" s="240"/>
      <c r="J17" s="240"/>
    </row>
    <row r="18" spans="1:15" ht="12.75">
      <c r="A18" s="196" t="s">
        <v>146</v>
      </c>
      <c r="B18" s="216" t="s">
        <v>256</v>
      </c>
      <c r="C18" s="216"/>
      <c r="H18" s="36"/>
      <c r="I18" s="131"/>
      <c r="J18" s="36"/>
      <c r="K18" s="36"/>
      <c r="L18" s="240"/>
      <c r="M18" s="241"/>
      <c r="N18" s="131"/>
      <c r="O18" s="131"/>
    </row>
    <row r="19" spans="2:12" ht="12.75">
      <c r="B19" s="194"/>
      <c r="C19" s="194"/>
      <c r="D19" s="194"/>
      <c r="E19" s="36"/>
      <c r="F19" s="200"/>
      <c r="G19" s="194"/>
      <c r="H19" s="204"/>
      <c r="I19" s="240"/>
      <c r="J19" s="241"/>
      <c r="K19" s="131"/>
      <c r="L19" s="131"/>
    </row>
    <row r="20" spans="1:14" ht="12.75">
      <c r="A20" s="27" t="s">
        <v>146</v>
      </c>
      <c r="B20" s="216" t="s">
        <v>179</v>
      </c>
      <c r="N20" s="242"/>
    </row>
    <row r="21" spans="11:15" ht="12.75">
      <c r="K21" s="244"/>
      <c r="L21" s="244"/>
      <c r="M21" s="244"/>
      <c r="N21" s="244"/>
      <c r="O21" s="245"/>
    </row>
    <row r="22" spans="1:15" ht="12.75">
      <c r="A22" s="27" t="s">
        <v>146</v>
      </c>
      <c r="B22" s="194" t="s">
        <v>258</v>
      </c>
      <c r="J22" s="235"/>
      <c r="K22" s="240"/>
      <c r="L22" s="240"/>
      <c r="M22" s="240"/>
      <c r="N22" s="240"/>
      <c r="O22" s="242"/>
    </row>
    <row r="23" ht="12.75">
      <c r="J23" s="215"/>
    </row>
    <row r="24" spans="1:11" ht="12.75">
      <c r="A24" s="27" t="s">
        <v>161</v>
      </c>
      <c r="B24" s="216" t="s">
        <v>162</v>
      </c>
      <c r="C24" s="135"/>
      <c r="D24" s="135"/>
      <c r="E24" s="135"/>
      <c r="F24" s="135"/>
      <c r="G24" s="135"/>
      <c r="H24" s="135"/>
      <c r="I24" s="135"/>
      <c r="J24" s="237"/>
      <c r="K24" s="135"/>
    </row>
    <row r="25" spans="2:11" ht="12.75">
      <c r="B25" s="194" t="s">
        <v>187</v>
      </c>
      <c r="C25" s="135"/>
      <c r="D25" s="135"/>
      <c r="E25" s="135"/>
      <c r="F25" s="135"/>
      <c r="G25" s="135"/>
      <c r="H25" s="135"/>
      <c r="I25" s="135"/>
      <c r="K25" s="135"/>
    </row>
    <row r="26" spans="2:11" ht="12.75">
      <c r="B26" s="135"/>
      <c r="C26" s="135"/>
      <c r="D26" s="135"/>
      <c r="E26" s="135"/>
      <c r="F26" s="135"/>
      <c r="G26" s="135"/>
      <c r="H26" s="135"/>
      <c r="I26" s="135"/>
      <c r="J26" s="237"/>
      <c r="K26" s="135"/>
    </row>
    <row r="27" spans="1:11" ht="12.75">
      <c r="A27" s="27" t="s">
        <v>146</v>
      </c>
      <c r="B27" s="194" t="s">
        <v>254</v>
      </c>
      <c r="C27" s="194"/>
      <c r="D27" s="194"/>
      <c r="E27" s="200"/>
      <c r="F27" s="127"/>
      <c r="G27" s="135"/>
      <c r="H27" s="135"/>
      <c r="I27" s="135"/>
      <c r="K27" s="135"/>
    </row>
    <row r="28" spans="2:10" ht="12.75">
      <c r="B28" s="193"/>
      <c r="J28" s="236"/>
    </row>
    <row r="29" spans="1:5" ht="12.75">
      <c r="A29" s="199"/>
      <c r="B29" s="216"/>
      <c r="C29" s="194"/>
      <c r="D29" s="194"/>
      <c r="E29" s="194"/>
    </row>
    <row r="30" spans="2:10" ht="12.75">
      <c r="B30" s="135"/>
      <c r="C30" s="135"/>
      <c r="D30" s="135"/>
      <c r="E30" s="135"/>
      <c r="F30" s="135"/>
      <c r="G30" s="135"/>
      <c r="H30" s="135"/>
      <c r="I30" s="135"/>
      <c r="J30" s="236"/>
    </row>
    <row r="31" spans="2:9" ht="12.75">
      <c r="B31" s="135"/>
      <c r="C31" s="135"/>
      <c r="D31" s="135"/>
      <c r="E31" s="135"/>
      <c r="F31" s="135"/>
      <c r="G31" s="135"/>
      <c r="H31" s="135"/>
      <c r="I31" s="135"/>
    </row>
    <row r="32" spans="2:10" ht="12.75">
      <c r="B32" s="135"/>
      <c r="C32" s="135"/>
      <c r="D32" s="207"/>
      <c r="E32" s="208"/>
      <c r="F32" s="135"/>
      <c r="G32" s="135"/>
      <c r="H32" s="135"/>
      <c r="I32" s="135"/>
      <c r="J32" s="236"/>
    </row>
    <row r="33" spans="2:10" ht="12.75">
      <c r="B33" s="198"/>
      <c r="C33" s="135"/>
      <c r="D33" s="207"/>
      <c r="E33" s="208"/>
      <c r="F33" s="135"/>
      <c r="G33" s="135"/>
      <c r="H33" s="135"/>
      <c r="I33" s="201"/>
      <c r="J33" s="238"/>
    </row>
    <row r="34" spans="2:10" ht="12.75">
      <c r="B34" s="198"/>
      <c r="C34" s="208"/>
      <c r="D34" s="207"/>
      <c r="E34" s="135"/>
      <c r="F34" s="135"/>
      <c r="G34" s="135"/>
      <c r="H34" s="135"/>
      <c r="I34" s="135"/>
      <c r="J34" s="135"/>
    </row>
    <row r="35" spans="2:10" ht="12.75">
      <c r="B35" s="198"/>
      <c r="C35" s="208"/>
      <c r="D35" s="207"/>
      <c r="E35" s="135"/>
      <c r="F35" s="135"/>
      <c r="G35" s="135"/>
      <c r="H35" s="135"/>
      <c r="I35" s="135"/>
      <c r="J35" s="135"/>
    </row>
    <row r="36" spans="2:10" ht="12.75">
      <c r="B36" s="198"/>
      <c r="C36" s="208"/>
      <c r="D36" s="207"/>
      <c r="E36" s="135"/>
      <c r="F36" s="135"/>
      <c r="G36" s="135"/>
      <c r="H36" s="135"/>
      <c r="I36" s="135"/>
      <c r="J36" s="135"/>
    </row>
    <row r="37" spans="2:12" ht="12.75">
      <c r="B37" s="198"/>
      <c r="C37" s="208"/>
      <c r="D37" s="207"/>
      <c r="E37" s="135"/>
      <c r="F37" s="135"/>
      <c r="G37" s="135"/>
      <c r="H37" s="135"/>
      <c r="I37" s="135"/>
      <c r="J37" s="135"/>
      <c r="L37" s="201"/>
    </row>
    <row r="38" spans="2:5" ht="12.75">
      <c r="B38" s="198"/>
      <c r="C38" s="208"/>
      <c r="D38" s="14"/>
      <c r="E38" s="135"/>
    </row>
    <row r="41" ht="12.75">
      <c r="C41" s="194"/>
    </row>
    <row r="42" ht="12.75">
      <c r="C42" s="194"/>
    </row>
    <row r="50" spans="2:6" ht="12.75">
      <c r="B50" s="194"/>
      <c r="F50" s="197"/>
    </row>
  </sheetData>
  <sheetProtection/>
  <printOptions/>
  <pageMargins left="0.75" right="0.75" top="1" bottom="1" header="0.5" footer="0.5"/>
  <pageSetup fitToHeight="1" fitToWidth="1" horizontalDpi="600" verticalDpi="600" orientation="landscape" scale="81" r:id="rId1"/>
  <headerFooter alignWithMargins="0">
    <oddFooter>&amp;C&amp;A&amp;R&amp;P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Hatch</dc:creator>
  <cp:keywords/>
  <dc:description/>
  <cp:lastModifiedBy>Don</cp:lastModifiedBy>
  <cp:lastPrinted>2023-10-20T13:14:20Z</cp:lastPrinted>
  <dcterms:created xsi:type="dcterms:W3CDTF">2003-06-21T13:56:48Z</dcterms:created>
  <dcterms:modified xsi:type="dcterms:W3CDTF">2023-11-15T14:38:22Z</dcterms:modified>
  <cp:category/>
  <cp:version/>
  <cp:contentType/>
  <cp:contentStatus/>
</cp:coreProperties>
</file>